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表" sheetId="1" r:id="rId1"/>
    <sheet name="材料见证取样检测" sheetId="18" r:id="rId2"/>
    <sheet name="实体结构检测" sheetId="3" r:id="rId3"/>
    <sheet name="钢结构检测" sheetId="17" r:id="rId4"/>
    <sheet name="人防实体检测" sheetId="4" r:id="rId5"/>
    <sheet name="人防设备检测" sheetId="5" r:id="rId6"/>
    <sheet name="市政工程检测" sheetId="14" r:id="rId7"/>
  </sheets>
  <definedNames>
    <definedName name="_xlnm.Print_Titles" localSheetId="5">人防设备检测!$1:$2</definedName>
    <definedName name="_xlnm.Print_Area" localSheetId="1">材料见证取样检测!$A$1:$O$134</definedName>
    <definedName name="_xlnm.Print_Titles" localSheetId="1">材料见证取样检测!$1:$2</definedName>
  </definedNames>
  <calcPr calcId="144525"/>
</workbook>
</file>

<file path=xl/sharedStrings.xml><?xml version="1.0" encoding="utf-8"?>
<sst xmlns="http://schemas.openxmlformats.org/spreadsheetml/2006/main" count="1191" uniqueCount="702">
  <si>
    <t>招标控制价汇总表</t>
  </si>
  <si>
    <t>工程名称：南沙国际港航中心材料、实体及人防检测项目</t>
  </si>
  <si>
    <t>序号</t>
  </si>
  <si>
    <t>项目名称</t>
  </si>
  <si>
    <t>合计（元）</t>
  </si>
  <si>
    <t>备注</t>
  </si>
  <si>
    <t>材料检测</t>
  </si>
  <si>
    <t>实体结构检测</t>
  </si>
  <si>
    <t>钢结构检测</t>
  </si>
  <si>
    <t>人防实体检测</t>
  </si>
  <si>
    <t>人防设备安装质量检测</t>
  </si>
  <si>
    <t>市政实体检测</t>
  </si>
  <si>
    <t>合计</t>
  </si>
  <si>
    <t>南沙国际港航中心材料、实体及人防检测项目-材料检测清单</t>
  </si>
  <si>
    <t>检测参数</t>
  </si>
  <si>
    <t>检测频率</t>
  </si>
  <si>
    <t>单位</t>
  </si>
  <si>
    <t>数量</t>
  </si>
  <si>
    <t>标准单价(元)</t>
  </si>
  <si>
    <t>综合单价（元）</t>
  </si>
  <si>
    <t>合价（元）</t>
  </si>
  <si>
    <t>下浮率35%</t>
  </si>
  <si>
    <t>招标小组会议合价（元）</t>
  </si>
  <si>
    <t>下浮率()</t>
  </si>
  <si>
    <t>集团会议合价（元）</t>
  </si>
  <si>
    <t>收费依据</t>
  </si>
  <si>
    <t>水泥</t>
  </si>
  <si>
    <t>标准稠度用水量、凝结时间、安定性(沸煮法)、胶砂强度 、比表面积、氯离子含量</t>
  </si>
  <si>
    <t>按同一生产厂家、同一等级、同一品种、同一批号且连续进场的水泥，袋装水泥不超过200t为一批；散装水泥不超过500t为一批</t>
  </si>
  <si>
    <t>组</t>
  </si>
  <si>
    <t>粤建检协[2015]8号文4.1.2、4.1.1、4.1.3、4.1.5、4.1.7、4.1.23</t>
  </si>
  <si>
    <t>砂</t>
  </si>
  <si>
    <t>筛分析（颗粒级配）、表观密度、堆积密度、含泥量、泥块含量、有机物含量、氯离子含量</t>
  </si>
  <si>
    <t>用大型工具(如火车、货船或汽车)运输的，以400m3或600t为一批</t>
  </si>
  <si>
    <t>粤建检协[2015]8号文4.4.1、4.4.2、4.4.3、4.4.8、4.4.9、4.4.11、4.4.15</t>
  </si>
  <si>
    <t>石</t>
  </si>
  <si>
    <t>筛分析（颗粒级配）、表观密度、堆积密度、紧密密度、含泥量、泥块含量、针片状颗粒含量、压碎值</t>
  </si>
  <si>
    <t>粤建检协[2015]8号文4.5.1、4.5.2、4.5.3、4.5.4、4.5.8、4.5.9、4.5.11、4.5.12</t>
  </si>
  <si>
    <t>掺合料</t>
  </si>
  <si>
    <t>细度、需水量、烧失量、含水量、三氧化硫含量、游离氧化钙含量、安定性</t>
  </si>
  <si>
    <t xml:space="preserve">同等级、同种类≤200t为一验收批(连续供应)
</t>
  </si>
  <si>
    <t>粤建检协【2015】8号文4.13.1、4、5、7、9、10、12</t>
  </si>
  <si>
    <t>混凝土膨胀剂</t>
  </si>
  <si>
    <t>凝结时间、限制膨胀率(水中7天、空气中21天)、抗压强度、细度、含水率</t>
  </si>
  <si>
    <t>不大于200t为一批，</t>
  </si>
  <si>
    <t>粤建检协【2015】8号文4.11.4、25、19、1、6</t>
  </si>
  <si>
    <t>外加剂</t>
  </si>
  <si>
    <t>减水率、泌水率、含气量、凝结时间差、1h坍落度经时变化、1h含气量经时变化、抗压强度比</t>
  </si>
  <si>
    <t>掺量≥1%时，100t为一验收批，掺量＜1%时，50t为一验收批</t>
  </si>
  <si>
    <t>粤建检协【2015】8号文4.11.15、16、17、19、21、23</t>
  </si>
  <si>
    <t>混凝土</t>
  </si>
  <si>
    <t>配合比验证</t>
  </si>
  <si>
    <t>同一配合比验证一次</t>
  </si>
  <si>
    <t>粤建检协[2015]8号文 4.8.9</t>
  </si>
  <si>
    <t>抗压强度</t>
  </si>
  <si>
    <t xml:space="preserve">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
</t>
  </si>
  <si>
    <t>粤建检协[2015]8号文4.8.10</t>
  </si>
  <si>
    <t>抗折强度</t>
  </si>
  <si>
    <t>每拌制100盘不超过100m3的同配合比的混凝土，其取样不得少于一组</t>
  </si>
  <si>
    <t>粤建检协[2015]8号文4.8.14</t>
  </si>
  <si>
    <t>抗渗</t>
  </si>
  <si>
    <t>混凝土试件应在浇筑地点随机取样，连续浇筑混凝土每500m3应留置一组（6块）抗渗试块，且每项工程不得小于二组；</t>
  </si>
  <si>
    <t>粤建检协[2015]8号文4.8.19</t>
  </si>
  <si>
    <t>P7?</t>
  </si>
  <si>
    <t>拌合物氯离子</t>
  </si>
  <si>
    <t>同一等级每种配比至少送检一组。</t>
  </si>
  <si>
    <t>粤建检协[2015]8号文4.8.24</t>
  </si>
  <si>
    <t>硬化后氯离子</t>
  </si>
  <si>
    <t>粤建检协[2015]8号文4.8.23</t>
  </si>
  <si>
    <t>不锈钢管</t>
  </si>
  <si>
    <t>外观、尺寸、拉伸、压扁、镀锌层均匀性、镀锌层厚度或重量</t>
  </si>
  <si>
    <t>按同一牌号、同一炉罐号、同一尺寸的钢管组成，不超过60t为一批</t>
  </si>
  <si>
    <t>粤建检协[2015]8号文4.25.1~4、4.25.7、4.25.8</t>
  </si>
  <si>
    <t>砂浆</t>
  </si>
  <si>
    <t>每一检验批且不超过250m3砌体的各种类、各强度等级的砌筑砂浆，每台搅拌机应至少抽查一次，每次至少应制作一组试块</t>
  </si>
  <si>
    <t>粤建检协[2015]8号文4.9.10</t>
  </si>
  <si>
    <t>热轧带肋钢筋</t>
  </si>
  <si>
    <t>拉伸、弯曲、最大力伸长率、强屈比、超屈比、重量偏差、反向弯曲</t>
  </si>
  <si>
    <t>按批检验每批重量不大于60t；不足60t按一批计。</t>
  </si>
  <si>
    <t>粤建检协[2015]8号文4.16.1~4、4.16.6</t>
  </si>
  <si>
    <t>热轧光圆钢筋</t>
  </si>
  <si>
    <t>拉伸、弯曲、重量偏差</t>
  </si>
  <si>
    <t>粤建检协[2015]8号文4.16.1、2</t>
  </si>
  <si>
    <t>钢筋焊接</t>
  </si>
  <si>
    <t>抗拉强度、伸长率</t>
  </si>
  <si>
    <t>同一台班内，由同一焊工完成的300个同牌号、同直径钢筋焊接接头应作为一批。当同一台班内焊接的接头数量较少，可在一周之内累计计算，累计仍不足300个接头时，应按一批计算</t>
  </si>
  <si>
    <t>粤建检协【2015】8号文4.17.1、2</t>
  </si>
  <si>
    <t>钢筋机械连接</t>
  </si>
  <si>
    <t>拉伸强度</t>
  </si>
  <si>
    <t>同一施工条件下采用同一批材料的同等级、型式、规格的接头以500个为一批不足500的按一个验收批计。</t>
  </si>
  <si>
    <t>粤建检协[2015]8号文4.18.1</t>
  </si>
  <si>
    <t>残余变形</t>
  </si>
  <si>
    <t>每个规格机械连接送检一组。</t>
  </si>
  <si>
    <t>粤建检协[2015]8号文4.18.4</t>
  </si>
  <si>
    <t>钢材型材</t>
  </si>
  <si>
    <t>屈服强度、抗拉强度、断后伸长率、弯曲</t>
  </si>
  <si>
    <t>按同一牌号、同一炉罐号、同一尺寸的钢材组成，不超过60t为一批</t>
  </si>
  <si>
    <t>粤建检协[2015]8号文4.16.1</t>
  </si>
  <si>
    <t>镀锌层</t>
  </si>
  <si>
    <t>按进场批次取样,每批取样一组。</t>
  </si>
  <si>
    <t>粤建检协[2015]8号文4.16.11</t>
  </si>
  <si>
    <t>钢管</t>
  </si>
  <si>
    <t>粤建检协[2015]8号文4.25.3</t>
  </si>
  <si>
    <t>硅钙板</t>
  </si>
  <si>
    <t>密度、抗折强度、湿胀率</t>
  </si>
  <si>
    <t>同类别，同规格，同强度的产品组成，每检验批为3000张为一批次，不足3000张，但大于200张也可以为一批</t>
  </si>
  <si>
    <t>粤建检协【2015】8号文4.28.3、7、4.53.8</t>
  </si>
  <si>
    <t>4.15.19</t>
  </si>
  <si>
    <t>蒸压加气混凝土板</t>
  </si>
  <si>
    <t>抗压强度、干密度、结构性能</t>
  </si>
  <si>
    <t>同规格、同等级1万块一批</t>
  </si>
  <si>
    <t>粤建检协【2015】8号文4.28.3、8、10</t>
  </si>
  <si>
    <t>蒸压加气混凝土砌块</t>
  </si>
  <si>
    <t>干密度、抗压强度</t>
  </si>
  <si>
    <t>同品种、同规格、同等级的砌块以3万块为一批，不足3万块亦为一批</t>
  </si>
  <si>
    <t>粤建检协[2015]8号文4.27.8、4.27.11</t>
  </si>
  <si>
    <t>灰砂砖、实心砖</t>
  </si>
  <si>
    <t>抗压强度、干密度</t>
  </si>
  <si>
    <t>每10万块为一批，不足10 万块按一批计。</t>
  </si>
  <si>
    <t>粤建检协[2015]8号文4.26.3、6</t>
  </si>
  <si>
    <t>聚氨酯防水涂料</t>
  </si>
  <si>
    <t>拉伸性能,干燥时间,固体含量,不透水性,粘结强度,撕裂强度,外观</t>
  </si>
  <si>
    <t>每10t为一批，不足10t按一批抽样</t>
  </si>
  <si>
    <t>粤建检协【2015】8号文4.40.5、11、2、9、6、4、1</t>
  </si>
  <si>
    <t>聚合物水泥防水涂料</t>
  </si>
  <si>
    <t>拉伸性能(无处理),固体含量,低温柔性,不透水性,粘结强度（无处理）,外观</t>
  </si>
  <si>
    <t>粤建检协【2015】8号文4.40.5、2、8、9、6、1</t>
  </si>
  <si>
    <t>防水卷材</t>
  </si>
  <si>
    <t>厚度、不透水性、耐热性、拉伸性能（横纵向）、断裂延伸率</t>
  </si>
  <si>
    <t>同一类型、同一规格10000m2为一批不足10000m2时亦可作为一批</t>
  </si>
  <si>
    <t>粤建检协[2015]8号文4.38.9、3、4、5</t>
  </si>
  <si>
    <t>砌筑砂浆、地面砂浆</t>
  </si>
  <si>
    <t>抗压强度、凝结时间、保水性、2h稠度损失率</t>
  </si>
  <si>
    <t>同一厂家、等级、品种、批号，500t为取一批取一次，不足500t按一批。</t>
  </si>
  <si>
    <t>粤建检协[2015]8号文4.9.10、6、25、33</t>
  </si>
  <si>
    <t>抹灰砂浆</t>
  </si>
  <si>
    <t>抗压强度、凝结时间、保水性、2h稠度损失率、粘结强度</t>
  </si>
  <si>
    <t>粤建检协[2015]8号文4.9.10、6、25、33、19</t>
  </si>
  <si>
    <t>防水砂浆</t>
  </si>
  <si>
    <t>抗压强度、凝结时间、保水性、2h稠度损失率、粘结强度、抗渗压力</t>
  </si>
  <si>
    <t>粤建检协[2015]8号文4.9.10、6、25、33、19、22</t>
  </si>
  <si>
    <t>铝型材</t>
  </si>
  <si>
    <t>韦氏硬度、膜厚、壁厚</t>
  </si>
  <si>
    <t>型材应由同一合金号，供货状态，规格的型材组成，批重不限</t>
  </si>
  <si>
    <t>粤建检协【2015】8号文4.29.3、4、5</t>
  </si>
  <si>
    <t>铝单板</t>
  </si>
  <si>
    <t>尺寸、涂层厚度、硬度、抗拉强度、伸长率</t>
  </si>
  <si>
    <t>每批应由同一品种、同一颜色、同一生产批次的铝单板组成，每3000㎡为一个检验批，不足3000㎡按一个检验批计算</t>
  </si>
  <si>
    <t>粤建检协【2015】8号文4.29.1、2、3、5</t>
  </si>
  <si>
    <t>陶瓷砖</t>
  </si>
  <si>
    <t>表面质量、破坏强度、断裂模数、吸水率</t>
  </si>
  <si>
    <t>粤建检协[2015]8号文4.15.1、2、3、4</t>
  </si>
  <si>
    <t>陶瓷砖粘结剂</t>
  </si>
  <si>
    <t>拉伸粘结强度（未处理、浸水处理）</t>
  </si>
  <si>
    <t>连续生产，同一配料工艺条件制得的产品为一批。C类产品100t为一批，D类和R类产品10t为一批。不足上述数量时亦作为一批。</t>
  </si>
  <si>
    <t>粤建检协[2015]8号文4.9.19、20</t>
  </si>
  <si>
    <t>石材</t>
  </si>
  <si>
    <t>弯曲强度、吸水率、体积密度</t>
  </si>
  <si>
    <t>粤建检协[2015]8号文4.34.2、3、4</t>
  </si>
  <si>
    <t>建筑涂料</t>
  </si>
  <si>
    <t>耐碱性、耐洗刷性、涂膜外观、施工性、耐水性、附着力、容器中状态、拉伸性能、粘结强度</t>
  </si>
  <si>
    <t>粤建检协【2015】8号文4.35.15、17、20、26、28、24、5、10、14</t>
  </si>
  <si>
    <t>腻子</t>
  </si>
  <si>
    <t>在容器中状态、施工性、干燥时间(表干) 、耐碱性、耐水性、粘结强度</t>
  </si>
  <si>
    <t>粤建检协[2015]8号文4.35.24、26、7、15、17、14</t>
  </si>
  <si>
    <t>砂壁状涂料</t>
  </si>
  <si>
    <t>在容器中状态、施工性、低温稳定性、干燥时间、初期干燥抗裂性、耐水性、耐碱性、粘结强度、涂膜外观</t>
  </si>
  <si>
    <t>粤建检协[2015]8号文4.35.24、26、31、7、2、17、28、15、20、14</t>
  </si>
  <si>
    <t>地坪漆（底涂、中涂）</t>
  </si>
  <si>
    <t>容器中状态、干燥时间、耐碱性</t>
  </si>
  <si>
    <t>粤建检协[2015]8号文4.35.24、7、15</t>
  </si>
  <si>
    <t>地坪漆（面涂）</t>
  </si>
  <si>
    <t>容器中状态、漆膜外观、干燥时间、耐水性、耐碱性、耐酸性</t>
  </si>
  <si>
    <t>粤建检协[2015]8号文4.35.24、28、7、17、15、18</t>
  </si>
  <si>
    <t>水泥基渗透结晶型防水涂料</t>
  </si>
  <si>
    <t>含水率、细度、施工性、28d抗压强度、湿基面粘结强度、混凝土抗渗性能、混凝土抗渗性能(抗渗压力比-带涂层)、混凝土抗渗性能(抗渗压力比-去除涂层)</t>
  </si>
  <si>
    <t>50t为一批</t>
  </si>
  <si>
    <t>粤建检协【2015】8号4.12.1、4、11、19、13、4.35.26</t>
  </si>
  <si>
    <t>防腐涂料</t>
  </si>
  <si>
    <t>容器中状态、漆膜外观、干燥时间(表、实干)、附着力、耐弯曲性、耐冲击性、耐水性、施工性</t>
  </si>
  <si>
    <t>粤建检协[2015]8号文4.35.24、28、7、5、19、11、17、26</t>
  </si>
  <si>
    <t>涂料</t>
  </si>
  <si>
    <t>相容性</t>
  </si>
  <si>
    <t>根据设计要求，每种配套检测一组。</t>
  </si>
  <si>
    <t>粤建检协[2015]8号文4.1.32</t>
  </si>
  <si>
    <t>龙骨</t>
  </si>
  <si>
    <t>外观质量、尺寸、镀锌层厚度、涂层铅笔硬度、</t>
  </si>
  <si>
    <t>班产量大于或等于2000m者，以2000m同型号，同规格的轻钢龙骨为一批，班产量小于2000m,以实际产量为一批。</t>
  </si>
  <si>
    <t>粤建检协[2015]8号文4.30.1、2、4、6、</t>
  </si>
  <si>
    <t>石膏板</t>
  </si>
  <si>
    <t>单位面积质量、含水率、受潮挠度</t>
  </si>
  <si>
    <t>同一类型，同一规格3000块板材按一批计。</t>
  </si>
  <si>
    <t>粤建检协[2015]8号文4.28.1、6、7</t>
  </si>
  <si>
    <t>干挂石材胶</t>
  </si>
  <si>
    <t>适用期、拉剪强度（不锈钢-不锈钢）、压剪强度（石材-不锈钢）</t>
  </si>
  <si>
    <t>粤建检协[2015]8号文5.6.2、5、6</t>
  </si>
  <si>
    <t>镀锌电焊网</t>
  </si>
  <si>
    <t>硫酸铜试验、焊点抗拉力</t>
  </si>
  <si>
    <t>按建筑面积，2000m2及以下，1组；2000-20000m2，3组；20000m2以上，6组。</t>
  </si>
  <si>
    <t>粤建检协[2015]8号文4.29.16、17</t>
  </si>
  <si>
    <t>装饰装修材料（陶瓷砖、石材）</t>
  </si>
  <si>
    <t>放射性</t>
  </si>
  <si>
    <t>粤建检协[2015]8号文4.34.12</t>
  </si>
  <si>
    <t>焊接工艺评定（不含加工）</t>
  </si>
  <si>
    <t>拉伸、弯曲、冲击</t>
  </si>
  <si>
    <t>粤建检协[2015]8号文4.32.1、2、3</t>
  </si>
  <si>
    <t>焊接材料（不含加工）</t>
  </si>
  <si>
    <t>拉伸、冲击、化学成分分析（8个元素）</t>
  </si>
  <si>
    <t>粤建检协[2015]8号文4.31.3、4、5</t>
  </si>
  <si>
    <t>路面砖</t>
  </si>
  <si>
    <t>抗压（抗折）强度、吸水率</t>
  </si>
  <si>
    <t>同一型号、规格、等级10000件为一批。</t>
  </si>
  <si>
    <t>粤建检协[2015]8号文10.13.3、4、6</t>
  </si>
  <si>
    <t>路缘石</t>
  </si>
  <si>
    <t>抗压强度、抗折强度、吸水率</t>
  </si>
  <si>
    <t>同一型号、规格、等级20000件为一批。</t>
  </si>
  <si>
    <t>粤建检协[2015]8号文10.14.3、4、5</t>
  </si>
  <si>
    <t>普通螺栓</t>
  </si>
  <si>
    <t>实物拉伸试验</t>
  </si>
  <si>
    <t>粤建检协[2015]8号文4.20.2</t>
  </si>
  <si>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</si>
  <si>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</si>
  <si>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</si>
  <si>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粤建检协【2015】8号文4.19.5、2、3、1、8</t>
  </si>
  <si>
    <t>钢绞线</t>
  </si>
  <si>
    <t>抗拉强度、弹性模量</t>
  </si>
  <si>
    <t>粤建检协[2015]8号文4.21.3、4.21.4</t>
  </si>
  <si>
    <t>锚具、夹片</t>
  </si>
  <si>
    <t>硬度</t>
  </si>
  <si>
    <t>按材料用量的3%抽检且不应少于6件。</t>
  </si>
  <si>
    <t>个</t>
  </si>
  <si>
    <t>粤建检协[2015]8号文4.23.2</t>
  </si>
  <si>
    <t>锚固性能组合件</t>
  </si>
  <si>
    <t>静载锚固性能</t>
  </si>
  <si>
    <t>每种规格取样一组。</t>
  </si>
  <si>
    <t>孔</t>
  </si>
  <si>
    <t>粤建检协[2015]8号文4.23.1</t>
  </si>
  <si>
    <t>钢管脚手架构件</t>
  </si>
  <si>
    <t>抗滑、抗破坏、扭转刚度、扭力矩试压</t>
  </si>
  <si>
    <t>在批量范围281-500随机抽取直角扣件16件，旋转、对接扣件、底座各8件为一组；在批量范围501-1200随机抽取直角扣件26件，旋转、对接扣件、底座各13件为一组；在批量范围1201-10000随机抽取直角扣件40件，旋转、对接扣件、底座各20件为一组。</t>
  </si>
  <si>
    <t>套</t>
  </si>
  <si>
    <t>粤建检协[2015]8号文7.10.1、7.10.2、7.10.3、7.10.4</t>
  </si>
  <si>
    <t>抗滑、抗破坏、扭力矩试压</t>
  </si>
  <si>
    <t>粤建检协[2015]8号文7.10.1、7.10.2、7.10.3</t>
  </si>
  <si>
    <t>抗拉、扭力矩试压</t>
  </si>
  <si>
    <t>粤建检协[2015]8号文7.10.3、7.10.5</t>
  </si>
  <si>
    <t>抗压</t>
  </si>
  <si>
    <t>粤建检协[2015]8号文7.10.6</t>
  </si>
  <si>
    <t>承插型盘扣式钢管脚手架</t>
  </si>
  <si>
    <t>单侧抗剪强度、双侧抗剪强度、抗弯强度、抗拉强度</t>
  </si>
  <si>
    <t>粤建检协[2015]8号文7.10.3、4、5</t>
  </si>
  <si>
    <t>安全网</t>
  </si>
  <si>
    <t>尺寸、网目密度、抗冲击性、抗贯穿性、阻燃性</t>
  </si>
  <si>
    <t>按照进场的同一生产厂家、同一规格型号、同一批次的安全网，取3张。</t>
  </si>
  <si>
    <t>粤建检协[2015]8号文7.14.10、7.14.9、7.14.7、7.14.6、7.14.8</t>
  </si>
  <si>
    <t>安全带</t>
  </si>
  <si>
    <t>整体静态负荷、整体动态负荷</t>
  </si>
  <si>
    <t xml:space="preserve">坠落悬挂安全带（整体静态负荷、整体动态负荷）：取4条
</t>
  </si>
  <si>
    <t>粤建检协[2015]8号文7.16.1、7.16.2</t>
  </si>
  <si>
    <t>安全帽</t>
  </si>
  <si>
    <t>佩戴高度、垂直间距、下鄂带强度、冲击吸收性能、耐穿刺性能</t>
  </si>
  <si>
    <t>耐穿刺性能、冲击吸收性能各有四种预处理方式[高温（50℃）处理、低温（-10℃）处理、浸水（20℃）处理、辐射处理]。进货检验：批量＜500顶时取1顶、项，批量500-5000时取2顶、项，批量5001-50000时取3顶、项，批量≥50001顶时取4顶、项。</t>
  </si>
  <si>
    <t>粤建检协[2015]8号文5.10.1、7.15.6、1、4、</t>
  </si>
  <si>
    <t>砂浆配合比</t>
  </si>
  <si>
    <t>粤建检协[2015]8号文4.9.27</t>
  </si>
  <si>
    <t>无机耐磨地坪材料</t>
  </si>
  <si>
    <t>抗折强度、抗压强度、耐磨</t>
  </si>
  <si>
    <t>同类型产品50t为一批，不足50t按一批计。</t>
  </si>
  <si>
    <t>粤建检协[2015]8号文4.35.8、4.35.19、4.35.16</t>
  </si>
  <si>
    <t>钢筋锚固板</t>
  </si>
  <si>
    <t>抗拉强度</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</si>
  <si>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</si>
  <si>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粤建检协[2015]8号文4.17.1</t>
  </si>
  <si>
    <t>灌浆料</t>
  </si>
  <si>
    <t>凝结时间、可操作时间、流动度、泌水率、竖向膨胀率、抗压强度</t>
  </si>
  <si>
    <t>在15d内生产的同配方、同批号原材料的产品应以50t作为一生产批号，不足50t也应作为 一生产批号。</t>
  </si>
  <si>
    <t>粤建检协[2015]8号文4.10.2、4.10.11、4.10.4、4.10.3、4.10.6、4.10.5</t>
  </si>
  <si>
    <t>标线涂料</t>
  </si>
  <si>
    <t>抗压强度、不粘胎时间、色度性能、密度、耐水性、耐碱性、耐磨性</t>
  </si>
  <si>
    <t>每批次进场检验一次</t>
  </si>
  <si>
    <t>粤建检协[2015]8号文10.6.7、4.12.6、4.35.8、4.35.12、4.35.、15、16、17</t>
  </si>
  <si>
    <t>植筋胶</t>
  </si>
  <si>
    <t>劈裂抗拉强度、抗弯强度、抗压强度、与混凝土正拉粘结强度</t>
  </si>
  <si>
    <t>粤建检协[2015]8号文4.36.1、4、5、8</t>
  </si>
  <si>
    <t>非固化橡胶沥青防水涂料</t>
  </si>
  <si>
    <t>固体含量,外观,延伸性,粘结性能</t>
  </si>
  <si>
    <t>同一类型10t为一批，不足10t也作为一批</t>
  </si>
  <si>
    <t>粤建检协[2015]8号文4.40.1、2、6、19</t>
  </si>
  <si>
    <t>球墨铸铁管</t>
  </si>
  <si>
    <t>外观、尺寸、布氏硬度</t>
  </si>
  <si>
    <t>按规格批次抽
带标识管段20cm+1个5cm正方形铁块表面磨掉黑漆</t>
  </si>
  <si>
    <t>粤建检协【2015】8号文4.44.1，4.44.2，4.44.14</t>
  </si>
  <si>
    <t>衬塑复合压力管</t>
  </si>
  <si>
    <r>
      <rPr>
        <sz val="10"/>
        <rFont val="宋体"/>
        <charset val="134"/>
      </rPr>
      <t>外观、尺寸、结合强度、弯曲性能（</t>
    </r>
    <r>
      <rPr>
        <sz val="10"/>
        <rFont val="Times New Roman"/>
        <charset val="134"/>
      </rPr>
      <t>DN≤50mm</t>
    </r>
    <r>
      <rPr>
        <sz val="10"/>
        <rFont val="宋体"/>
        <charset val="134"/>
      </rPr>
      <t>）或压扁性能（</t>
    </r>
    <r>
      <rPr>
        <sz val="10"/>
        <rFont val="Times New Roman"/>
        <charset val="134"/>
      </rPr>
      <t>DN</t>
    </r>
    <r>
      <rPr>
        <sz val="10"/>
        <rFont val="宋体"/>
        <charset val="134"/>
      </rPr>
      <t>＞</t>
    </r>
    <r>
      <rPr>
        <sz val="10"/>
        <rFont val="Times New Roman"/>
        <charset val="134"/>
      </rPr>
      <t>50mm</t>
    </r>
    <r>
      <rPr>
        <sz val="10"/>
        <rFont val="宋体"/>
        <charset val="134"/>
      </rPr>
      <t>）、耐冷热循环</t>
    </r>
  </si>
  <si>
    <t>按规格批次抽
1×1m+3×20mm</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</si>
  <si>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4.44.1</t>
    </r>
    <r>
      <rPr>
        <sz val="10"/>
        <rFont val="宋体"/>
        <charset val="134"/>
      </rPr>
      <t>，</t>
    </r>
    <r>
      <rPr>
        <sz val="10"/>
        <rFont val="Times New Roman"/>
        <charset val="134"/>
      </rPr>
      <t>4.44.2</t>
    </r>
    <r>
      <rPr>
        <sz val="10"/>
        <rFont val="宋体"/>
        <charset val="134"/>
      </rPr>
      <t>，</t>
    </r>
    <r>
      <rPr>
        <sz val="10"/>
        <rFont val="Times New Roman"/>
        <charset val="134"/>
      </rPr>
      <t>4.44.7</t>
    </r>
    <r>
      <rPr>
        <sz val="10"/>
        <rFont val="宋体"/>
        <charset val="134"/>
      </rPr>
      <t>，</t>
    </r>
    <r>
      <rPr>
        <sz val="10"/>
        <rFont val="Times New Roman"/>
        <charset val="134"/>
      </rPr>
      <t>4.44.5</t>
    </r>
    <r>
      <rPr>
        <sz val="10"/>
        <rFont val="宋体"/>
        <charset val="134"/>
      </rPr>
      <t>，</t>
    </r>
    <r>
      <rPr>
        <sz val="10"/>
        <rFont val="Times New Roman"/>
        <charset val="134"/>
      </rPr>
      <t>4.44.5</t>
    </r>
    <r>
      <rPr>
        <sz val="10"/>
        <rFont val="宋体"/>
        <charset val="134"/>
      </rPr>
      <t>，</t>
    </r>
    <r>
      <rPr>
        <sz val="10"/>
        <rFont val="Times New Roman"/>
        <charset val="134"/>
      </rPr>
      <t>4.44.24</t>
    </r>
  </si>
  <si>
    <t>钢塑复合压力管用双热熔管件</t>
  </si>
  <si>
    <t>尺寸、短期静液压</t>
  </si>
  <si>
    <t>按规格批次抽4个，其中3个两端接200mm（公称外径＞75mm接300mm）配套管材</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</si>
  <si>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4.44.2</t>
    </r>
    <r>
      <rPr>
        <sz val="10"/>
        <rFont val="宋体"/>
        <charset val="134"/>
      </rPr>
      <t>，</t>
    </r>
    <r>
      <rPr>
        <sz val="10"/>
        <rFont val="Times New Roman"/>
        <charset val="134"/>
      </rPr>
      <t>4.44.3</t>
    </r>
  </si>
  <si>
    <t>给水用钢丝网增强聚乙烯复合管材</t>
  </si>
  <si>
    <t>外观、尺寸、静液压试验、爆破试验、受开压稳定性</t>
  </si>
  <si>
    <t>按规格批次抽
4×1m</t>
  </si>
  <si>
    <r>
      <rPr>
        <sz val="10"/>
        <rFont val="宋体"/>
        <charset val="134"/>
      </rPr>
      <t>粤建检协</t>
    </r>
    <r>
      <rPr>
        <sz val="10"/>
        <rFont val="Times New Roman"/>
        <charset val="134"/>
      </rPr>
      <t>[2015]8</t>
    </r>
    <r>
      <rPr>
        <sz val="10"/>
        <rFont val="宋体"/>
        <charset val="134"/>
      </rPr>
      <t>号文</t>
    </r>
    <r>
      <rPr>
        <sz val="10"/>
        <rFont val="Times New Roman"/>
        <charset val="134"/>
      </rPr>
      <t>4.44.1</t>
    </r>
    <r>
      <rPr>
        <sz val="10"/>
        <rFont val="宋体"/>
        <charset val="134"/>
      </rPr>
      <t>，</t>
    </r>
    <r>
      <rPr>
        <sz val="10"/>
        <rFont val="Times New Roman"/>
        <charset val="134"/>
      </rPr>
      <t>4.44.2</t>
    </r>
    <r>
      <rPr>
        <sz val="10"/>
        <rFont val="宋体"/>
        <charset val="134"/>
      </rPr>
      <t>，</t>
    </r>
    <r>
      <rPr>
        <sz val="10"/>
        <rFont val="Times New Roman"/>
        <charset val="134"/>
      </rPr>
      <t>4.44.3</t>
    </r>
    <r>
      <rPr>
        <sz val="10"/>
        <rFont val="宋体"/>
        <charset val="134"/>
      </rPr>
      <t>，</t>
    </r>
    <r>
      <rPr>
        <sz val="10"/>
        <rFont val="Times New Roman"/>
        <charset val="134"/>
      </rPr>
      <t>4.44.10</t>
    </r>
  </si>
  <si>
    <r>
      <rPr>
        <sz val="10"/>
        <rFont val="Times New Roman"/>
        <charset val="134"/>
      </rPr>
      <t>PP-R</t>
    </r>
    <r>
      <rPr>
        <sz val="10"/>
        <rFont val="宋体"/>
        <charset val="134"/>
      </rPr>
      <t>给水管材</t>
    </r>
  </si>
  <si>
    <t>外观、尺寸、纵向回缩率、静液压试验、简支梁冲击试验</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</si>
  <si>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4.43.2</t>
    </r>
    <r>
      <rPr>
        <sz val="10"/>
        <rFont val="宋体"/>
        <charset val="134"/>
      </rPr>
      <t>，</t>
    </r>
    <r>
      <rPr>
        <sz val="10"/>
        <rFont val="Times New Roman"/>
        <charset val="134"/>
      </rPr>
      <t>4.43.8</t>
    </r>
    <r>
      <rPr>
        <sz val="10"/>
        <rFont val="宋体"/>
        <charset val="134"/>
      </rPr>
      <t>，</t>
    </r>
    <r>
      <rPr>
        <sz val="10"/>
        <rFont val="Times New Roman"/>
        <charset val="134"/>
      </rPr>
      <t>4.43.13</t>
    </r>
    <r>
      <rPr>
        <sz val="10"/>
        <rFont val="宋体"/>
        <charset val="134"/>
      </rPr>
      <t>，</t>
    </r>
    <r>
      <rPr>
        <sz val="10"/>
        <rFont val="Times New Roman"/>
        <charset val="134"/>
      </rPr>
      <t>4.43.7</t>
    </r>
  </si>
  <si>
    <r>
      <rPr>
        <sz val="10"/>
        <rFont val="Times New Roman"/>
        <charset val="134"/>
      </rPr>
      <t>PP-R</t>
    </r>
    <r>
      <rPr>
        <sz val="10"/>
        <rFont val="宋体"/>
        <charset val="134"/>
      </rPr>
      <t>给水管件</t>
    </r>
  </si>
  <si>
    <t>外观、尺寸、液压试验</t>
  </si>
  <si>
    <t>按规格批次抽
9个</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</si>
  <si>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4.43.2</t>
    </r>
    <r>
      <rPr>
        <sz val="10"/>
        <rFont val="宋体"/>
        <charset val="134"/>
      </rPr>
      <t>，</t>
    </r>
    <r>
      <rPr>
        <sz val="10"/>
        <rFont val="Times New Roman"/>
        <charset val="134"/>
      </rPr>
      <t>4.43.13</t>
    </r>
  </si>
  <si>
    <r>
      <rPr>
        <sz val="10"/>
        <rFont val="Times New Roman"/>
        <charset val="134"/>
      </rPr>
      <t>PE</t>
    </r>
    <r>
      <rPr>
        <sz val="10"/>
        <rFont val="宋体"/>
        <charset val="134"/>
      </rPr>
      <t>给水管材</t>
    </r>
  </si>
  <si>
    <t>外观、尺寸、纵向回缩率、拉伸性能、静液压试验</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</si>
  <si>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4.43.2</t>
    </r>
    <r>
      <rPr>
        <sz val="10"/>
        <rFont val="宋体"/>
        <charset val="134"/>
      </rPr>
      <t>，</t>
    </r>
    <r>
      <rPr>
        <sz val="10"/>
        <rFont val="Times New Roman"/>
        <charset val="134"/>
      </rPr>
      <t>4.43.8</t>
    </r>
    <r>
      <rPr>
        <sz val="10"/>
        <rFont val="宋体"/>
        <charset val="134"/>
      </rPr>
      <t>，</t>
    </r>
    <r>
      <rPr>
        <sz val="10"/>
        <rFont val="Times New Roman"/>
        <charset val="134"/>
      </rPr>
      <t>4.43.3</t>
    </r>
    <r>
      <rPr>
        <sz val="10"/>
        <rFont val="宋体"/>
        <charset val="134"/>
      </rPr>
      <t>，</t>
    </r>
    <r>
      <rPr>
        <sz val="10"/>
        <rFont val="Times New Roman"/>
        <charset val="134"/>
      </rPr>
      <t>4.43.13</t>
    </r>
  </si>
  <si>
    <r>
      <rPr>
        <sz val="10"/>
        <rFont val="Times New Roman"/>
        <charset val="134"/>
      </rPr>
      <t>PE</t>
    </r>
    <r>
      <rPr>
        <sz val="10"/>
        <rFont val="宋体"/>
        <charset val="134"/>
      </rPr>
      <t>给水管件</t>
    </r>
  </si>
  <si>
    <t>外观、尺寸、静液压试验</t>
  </si>
  <si>
    <t>按规格批次抽4个（3个两端接300mm管材的管件+1个管件）</t>
  </si>
  <si>
    <t>金属阀门</t>
  </si>
  <si>
    <t>上密封试验、壳体试验、密封试验</t>
  </si>
  <si>
    <t>按规格批次抽
2个</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</si>
  <si>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4.54.2</t>
    </r>
    <r>
      <rPr>
        <sz val="10"/>
        <rFont val="宋体"/>
        <charset val="134"/>
      </rPr>
      <t>，</t>
    </r>
    <r>
      <rPr>
        <sz val="10"/>
        <rFont val="Times New Roman"/>
        <charset val="134"/>
      </rPr>
      <t>4.54.3</t>
    </r>
    <r>
      <rPr>
        <sz val="10"/>
        <rFont val="宋体"/>
        <charset val="134"/>
      </rPr>
      <t>，</t>
    </r>
    <r>
      <rPr>
        <sz val="10"/>
        <rFont val="Times New Roman"/>
        <charset val="134"/>
      </rPr>
      <t>4.54.1</t>
    </r>
  </si>
  <si>
    <r>
      <rPr>
        <sz val="10"/>
        <rFont val="Times New Roman"/>
        <charset val="134"/>
      </rPr>
      <t>PVC-U</t>
    </r>
    <r>
      <rPr>
        <sz val="10"/>
        <rFont val="宋体"/>
        <charset val="134"/>
      </rPr>
      <t>排水管材</t>
    </r>
  </si>
  <si>
    <t>外观、密度、尺寸、纵向回缩率、维卡软化温度、拉伸性能、落锤冲击试验</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</si>
  <si>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4.43.15</t>
    </r>
    <r>
      <rPr>
        <sz val="10"/>
        <rFont val="宋体"/>
        <charset val="134"/>
      </rPr>
      <t>，</t>
    </r>
    <r>
      <rPr>
        <sz val="10"/>
        <rFont val="Times New Roman"/>
        <charset val="134"/>
      </rPr>
      <t>4.43.2</t>
    </r>
    <r>
      <rPr>
        <sz val="10"/>
        <rFont val="宋体"/>
        <charset val="134"/>
      </rPr>
      <t>，</t>
    </r>
    <r>
      <rPr>
        <sz val="10"/>
        <rFont val="Times New Roman"/>
        <charset val="134"/>
      </rPr>
      <t>4.43.8</t>
    </r>
    <r>
      <rPr>
        <sz val="10"/>
        <rFont val="宋体"/>
        <charset val="134"/>
      </rPr>
      <t>，</t>
    </r>
    <r>
      <rPr>
        <sz val="10"/>
        <rFont val="Times New Roman"/>
        <charset val="134"/>
      </rPr>
      <t>4.43.4</t>
    </r>
    <r>
      <rPr>
        <sz val="10"/>
        <rFont val="宋体"/>
        <charset val="134"/>
      </rPr>
      <t>，</t>
    </r>
    <r>
      <rPr>
        <sz val="10"/>
        <rFont val="Times New Roman"/>
        <charset val="134"/>
      </rPr>
      <t>4.43.3</t>
    </r>
    <r>
      <rPr>
        <sz val="10"/>
        <rFont val="宋体"/>
        <charset val="134"/>
      </rPr>
      <t>，</t>
    </r>
    <r>
      <rPr>
        <sz val="10"/>
        <rFont val="Times New Roman"/>
        <charset val="134"/>
      </rPr>
      <t>4.43.6</t>
    </r>
  </si>
  <si>
    <r>
      <rPr>
        <sz val="10"/>
        <rFont val="Times New Roman"/>
        <charset val="134"/>
      </rPr>
      <t>PVC-U</t>
    </r>
    <r>
      <rPr>
        <sz val="10"/>
        <rFont val="宋体"/>
        <charset val="134"/>
      </rPr>
      <t>排水管件</t>
    </r>
  </si>
  <si>
    <t>外观、密度、尺寸、烘箱试验、坠落试验、维卡软化温度</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</si>
  <si>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4.43.15</t>
    </r>
    <r>
      <rPr>
        <sz val="10"/>
        <rFont val="宋体"/>
        <charset val="134"/>
      </rPr>
      <t>，</t>
    </r>
    <r>
      <rPr>
        <sz val="10"/>
        <rFont val="Times New Roman"/>
        <charset val="134"/>
      </rPr>
      <t>4.43.2</t>
    </r>
    <r>
      <rPr>
        <sz val="10"/>
        <rFont val="宋体"/>
        <charset val="134"/>
      </rPr>
      <t>，</t>
    </r>
    <r>
      <rPr>
        <sz val="10"/>
        <rFont val="Times New Roman"/>
        <charset val="134"/>
      </rPr>
      <t>4.43.12</t>
    </r>
    <r>
      <rPr>
        <sz val="10"/>
        <rFont val="宋体"/>
        <charset val="134"/>
      </rPr>
      <t>，</t>
    </r>
    <r>
      <rPr>
        <sz val="10"/>
        <rFont val="Times New Roman"/>
        <charset val="134"/>
      </rPr>
      <t>4.43.11</t>
    </r>
    <r>
      <rPr>
        <sz val="10"/>
        <rFont val="宋体"/>
        <charset val="134"/>
      </rPr>
      <t>，</t>
    </r>
    <r>
      <rPr>
        <sz val="10"/>
        <rFont val="Times New Roman"/>
        <charset val="134"/>
      </rPr>
      <t>4.43.4</t>
    </r>
  </si>
  <si>
    <r>
      <rPr>
        <sz val="10"/>
        <rFont val="Times New Roman"/>
        <charset val="134"/>
      </rPr>
      <t>PVC-U</t>
    </r>
    <r>
      <rPr>
        <sz val="10"/>
        <rFont val="宋体"/>
        <charset val="134"/>
      </rPr>
      <t>胶粘剂</t>
    </r>
  </si>
  <si>
    <t>外观、溶解性、粘度、粘结强度、水压爆破强度</t>
  </si>
  <si>
    <r>
      <rPr>
        <sz val="10"/>
        <rFont val="宋体"/>
        <charset val="134"/>
      </rPr>
      <t>按规格批次抽</t>
    </r>
    <r>
      <rPr>
        <sz val="10"/>
        <rFont val="Times New Roman"/>
        <charset val="134"/>
      </rPr>
      <t>500ml</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</si>
  <si>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4.37.1</t>
    </r>
    <r>
      <rPr>
        <sz val="10"/>
        <rFont val="宋体"/>
        <charset val="134"/>
      </rPr>
      <t>、</t>
    </r>
    <r>
      <rPr>
        <sz val="10"/>
        <rFont val="Times New Roman"/>
        <charset val="134"/>
      </rPr>
      <t>4.37.3</t>
    </r>
    <r>
      <rPr>
        <sz val="10"/>
        <rFont val="宋体"/>
        <charset val="134"/>
      </rPr>
      <t>、</t>
    </r>
    <r>
      <rPr>
        <sz val="10"/>
        <rFont val="Times New Roman"/>
        <charset val="134"/>
      </rPr>
      <t>4.37.6</t>
    </r>
    <r>
      <rPr>
        <sz val="10"/>
        <rFont val="宋体"/>
        <charset val="134"/>
      </rPr>
      <t>、</t>
    </r>
    <r>
      <rPr>
        <sz val="10"/>
        <rFont val="Times New Roman"/>
        <charset val="134"/>
      </rPr>
      <t>4.37.8</t>
    </r>
    <r>
      <rPr>
        <sz val="10"/>
        <rFont val="宋体"/>
        <charset val="134"/>
      </rPr>
      <t>、</t>
    </r>
    <r>
      <rPr>
        <sz val="10"/>
        <rFont val="Times New Roman"/>
        <charset val="134"/>
      </rPr>
      <t>4.37.9</t>
    </r>
  </si>
  <si>
    <r>
      <rPr>
        <sz val="10"/>
        <rFont val="宋体"/>
        <charset val="134"/>
      </rPr>
      <t>聚乙烯（</t>
    </r>
    <r>
      <rPr>
        <sz val="10"/>
        <rFont val="Times New Roman"/>
        <charset val="134"/>
      </rPr>
      <t>PE</t>
    </r>
    <r>
      <rPr>
        <sz val="10"/>
        <rFont val="宋体"/>
        <charset val="134"/>
      </rPr>
      <t>）双壁波纹管</t>
    </r>
  </si>
  <si>
    <t>外观和尺寸、烘箱试验、纵向回缩率、环刚度、环柔性、落锤冲击试验</t>
  </si>
  <si>
    <t>按规格批次抽
3×300mm</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</si>
  <si>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号文4.43.1，4.43.2，</t>
    </r>
    <r>
      <rPr>
        <sz val="10"/>
        <rFont val="Times New Roman"/>
        <charset val="134"/>
      </rPr>
      <t>4.43.12</t>
    </r>
    <r>
      <rPr>
        <sz val="10"/>
        <rFont val="宋体"/>
        <charset val="134"/>
      </rPr>
      <t>，</t>
    </r>
    <r>
      <rPr>
        <sz val="10"/>
        <rFont val="Times New Roman"/>
        <charset val="134"/>
      </rPr>
      <t>4.43.8</t>
    </r>
    <r>
      <rPr>
        <sz val="10"/>
        <rFont val="宋体"/>
        <charset val="134"/>
      </rPr>
      <t>，,9,10,6</t>
    </r>
  </si>
  <si>
    <t>中空壁缠绕管</t>
  </si>
  <si>
    <t>外观和尺寸、纵向回缩率、落锤冲击冲击、环刚度、环柔性</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</si>
  <si>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号文4.43.1，4.43.2，</t>
    </r>
    <r>
      <rPr>
        <sz val="10"/>
        <rFont val="Times New Roman"/>
        <charset val="134"/>
      </rPr>
      <t>4.43.8</t>
    </r>
    <r>
      <rPr>
        <sz val="10"/>
        <rFont val="宋体"/>
        <charset val="134"/>
      </rPr>
      <t>，</t>
    </r>
    <r>
      <rPr>
        <sz val="10"/>
        <rFont val="Times New Roman"/>
        <charset val="134"/>
      </rPr>
      <t>4.43.6</t>
    </r>
    <r>
      <rPr>
        <sz val="10"/>
        <rFont val="宋体"/>
        <charset val="134"/>
      </rPr>
      <t>,9,10</t>
    </r>
  </si>
  <si>
    <t>镀锌线管</t>
  </si>
  <si>
    <t>标志、弯曲试验、抗压性能、电气性能</t>
  </si>
  <si>
    <r>
      <rPr>
        <sz val="10"/>
        <rFont val="宋体"/>
        <charset val="134"/>
      </rPr>
      <t>按规格批次抽</t>
    </r>
    <r>
      <rPr>
        <sz val="10"/>
        <rFont val="Times New Roman"/>
        <charset val="134"/>
      </rPr>
      <t xml:space="preserve">
9×1.0m</t>
    </r>
    <r>
      <rPr>
        <sz val="10"/>
        <rFont val="宋体"/>
        <charset val="134"/>
      </rPr>
      <t>（注明轻</t>
    </r>
    <r>
      <rPr>
        <sz val="10"/>
        <rFont val="Times New Roman"/>
        <charset val="134"/>
      </rPr>
      <t>.</t>
    </r>
    <r>
      <rPr>
        <sz val="10"/>
        <rFont val="宋体"/>
        <charset val="134"/>
      </rPr>
      <t>中</t>
    </r>
    <r>
      <rPr>
        <sz val="10"/>
        <rFont val="Times New Roman"/>
        <charset val="134"/>
      </rPr>
      <t>.</t>
    </r>
    <r>
      <rPr>
        <sz val="10"/>
        <rFont val="宋体"/>
        <charset val="134"/>
      </rPr>
      <t>重）</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</si>
  <si>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4.45.2</t>
    </r>
    <r>
      <rPr>
        <sz val="10"/>
        <rFont val="宋体"/>
        <charset val="134"/>
      </rPr>
      <t>、</t>
    </r>
    <r>
      <rPr>
        <sz val="10"/>
        <rFont val="Times New Roman"/>
        <charset val="134"/>
      </rPr>
      <t>4.45.6</t>
    </r>
    <r>
      <rPr>
        <sz val="10"/>
        <rFont val="宋体"/>
        <charset val="134"/>
      </rPr>
      <t>、</t>
    </r>
    <r>
      <rPr>
        <sz val="10"/>
        <rFont val="Times New Roman"/>
        <charset val="134"/>
      </rPr>
      <t>4.45.8</t>
    </r>
    <r>
      <rPr>
        <sz val="10"/>
        <rFont val="宋体"/>
        <charset val="134"/>
      </rPr>
      <t>、</t>
    </r>
    <r>
      <rPr>
        <sz val="10"/>
        <rFont val="Times New Roman"/>
        <charset val="134"/>
      </rPr>
      <t>4.45.10</t>
    </r>
    <r>
      <rPr>
        <sz val="10"/>
        <rFont val="宋体"/>
        <charset val="134"/>
      </rPr>
      <t>、</t>
    </r>
    <r>
      <rPr>
        <sz val="10"/>
        <rFont val="Times New Roman"/>
        <charset val="134"/>
      </rPr>
      <t>11</t>
    </r>
  </si>
  <si>
    <t>电缆桥架</t>
  </si>
  <si>
    <t>外观、尺寸、承受安全工作荷载时的相对挠度、耐撞击能力、保护电路连续性、防护层厚度、防护层附着力、表面电阻率、体积电阻率</t>
  </si>
  <si>
    <r>
      <rPr>
        <sz val="10"/>
        <rFont val="宋体"/>
        <charset val="134"/>
      </rPr>
      <t>按规格批次抽
一根</t>
    </r>
    <r>
      <rPr>
        <sz val="10"/>
        <rFont val="Times New Roman"/>
        <charset val="134"/>
      </rPr>
      <t>2.5</t>
    </r>
    <r>
      <rPr>
        <sz val="10"/>
        <rFont val="宋体"/>
        <charset val="134"/>
      </rPr>
      <t>米（样品规格小于</t>
    </r>
    <r>
      <rPr>
        <sz val="10"/>
        <rFont val="Times New Roman"/>
        <charset val="134"/>
      </rPr>
      <t>2.5</t>
    </r>
    <r>
      <rPr>
        <sz val="10"/>
        <rFont val="宋体"/>
        <charset val="134"/>
      </rPr>
      <t>米时，按样品全长送检一根）＋</t>
    </r>
    <r>
      <rPr>
        <sz val="10"/>
        <rFont val="Times New Roman"/>
        <charset val="134"/>
      </rPr>
      <t>2</t>
    </r>
    <r>
      <rPr>
        <sz val="10"/>
        <rFont val="宋体"/>
        <charset val="134"/>
      </rPr>
      <t>根</t>
    </r>
    <r>
      <rPr>
        <sz val="10"/>
        <rFont val="Times New Roman"/>
        <charset val="134"/>
      </rPr>
      <t>1.2</t>
    </r>
    <r>
      <rPr>
        <sz val="10"/>
        <rFont val="宋体"/>
        <charset val="134"/>
      </rPr>
      <t>米中间用连接件接起；</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</si>
  <si>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4.46.1</t>
    </r>
    <r>
      <rPr>
        <sz val="10"/>
        <rFont val="宋体"/>
        <charset val="134"/>
      </rPr>
      <t>、</t>
    </r>
    <r>
      <rPr>
        <sz val="10"/>
        <rFont val="Times New Roman"/>
        <charset val="134"/>
      </rPr>
      <t>4.46.2</t>
    </r>
    <r>
      <rPr>
        <sz val="10"/>
        <rFont val="宋体"/>
        <charset val="134"/>
      </rPr>
      <t>、</t>
    </r>
    <r>
      <rPr>
        <sz val="10"/>
        <rFont val="Times New Roman"/>
        <charset val="134"/>
      </rPr>
      <t>4.46.10</t>
    </r>
    <r>
      <rPr>
        <sz val="10"/>
        <rFont val="宋体"/>
        <charset val="134"/>
      </rPr>
      <t>、</t>
    </r>
    <r>
      <rPr>
        <sz val="10"/>
        <rFont val="Times New Roman"/>
        <charset val="134"/>
      </rPr>
      <t>4.46.3</t>
    </r>
    <r>
      <rPr>
        <sz val="10"/>
        <rFont val="宋体"/>
        <charset val="134"/>
      </rPr>
      <t>、</t>
    </r>
    <r>
      <rPr>
        <sz val="10"/>
        <rFont val="Times New Roman"/>
        <charset val="134"/>
      </rPr>
      <t>4.46.6</t>
    </r>
    <r>
      <rPr>
        <sz val="10"/>
        <rFont val="宋体"/>
        <charset val="134"/>
      </rPr>
      <t>、</t>
    </r>
    <r>
      <rPr>
        <sz val="10"/>
        <rFont val="Times New Roman"/>
        <charset val="134"/>
      </rPr>
      <t>4.46.8</t>
    </r>
    <r>
      <rPr>
        <sz val="10"/>
        <rFont val="宋体"/>
        <charset val="134"/>
      </rPr>
      <t>、</t>
    </r>
    <r>
      <rPr>
        <sz val="10"/>
        <rFont val="Times New Roman"/>
        <charset val="134"/>
      </rPr>
      <t>4.46.9</t>
    </r>
    <r>
      <rPr>
        <sz val="10"/>
        <rFont val="宋体"/>
        <charset val="134"/>
      </rPr>
      <t>、</t>
    </r>
    <r>
      <rPr>
        <sz val="10"/>
        <rFont val="Times New Roman"/>
        <charset val="134"/>
      </rPr>
      <t>4.59.4</t>
    </r>
    <r>
      <rPr>
        <sz val="10"/>
        <rFont val="宋体"/>
        <charset val="134"/>
      </rPr>
      <t>、</t>
    </r>
    <r>
      <rPr>
        <sz val="10"/>
        <rFont val="Times New Roman"/>
        <charset val="134"/>
      </rPr>
      <t>4.59.3</t>
    </r>
  </si>
  <si>
    <t>配电箱</t>
  </si>
  <si>
    <t>外观、电击防护、保护电路的完整性、内装元件的组合、内部电路和连接、外接导线端子、电气间隙和爬电距离、工频耐受电压</t>
  </si>
  <si>
    <t>按规格批次抽
1个
（需提供说明书、线路图）</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</si>
  <si>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4.62.4</t>
    </r>
    <r>
      <rPr>
        <sz val="10"/>
        <rFont val="宋体"/>
        <charset val="134"/>
      </rPr>
      <t>，</t>
    </r>
    <r>
      <rPr>
        <sz val="10"/>
        <rFont val="Times New Roman"/>
        <charset val="134"/>
      </rPr>
      <t>4.62.3</t>
    </r>
  </si>
  <si>
    <t>MPP实壁管</t>
  </si>
  <si>
    <t>外观、尺寸、拉伸强度、落锤冲击试验、压扁试验、环刚度</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</si>
  <si>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4.43.2</t>
    </r>
    <r>
      <rPr>
        <sz val="10"/>
        <rFont val="宋体"/>
        <charset val="134"/>
      </rPr>
      <t>，</t>
    </r>
    <r>
      <rPr>
        <sz val="10"/>
        <rFont val="Times New Roman"/>
        <charset val="134"/>
      </rPr>
      <t>4.43.3</t>
    </r>
    <r>
      <rPr>
        <sz val="10"/>
        <rFont val="宋体"/>
        <charset val="134"/>
      </rPr>
      <t>，</t>
    </r>
    <r>
      <rPr>
        <sz val="10"/>
        <rFont val="Times New Roman"/>
        <charset val="134"/>
      </rPr>
      <t>4.43.6</t>
    </r>
    <r>
      <rPr>
        <sz val="10"/>
        <rFont val="宋体"/>
        <charset val="134"/>
      </rPr>
      <t>，</t>
    </r>
    <r>
      <rPr>
        <sz val="10"/>
        <rFont val="Times New Roman"/>
        <charset val="134"/>
      </rPr>
      <t>4.43.5</t>
    </r>
    <r>
      <rPr>
        <sz val="10"/>
        <rFont val="宋体"/>
        <charset val="134"/>
      </rPr>
      <t>，</t>
    </r>
    <r>
      <rPr>
        <sz val="10"/>
        <rFont val="Times New Roman"/>
        <charset val="134"/>
      </rPr>
      <t>4.43.9</t>
    </r>
  </si>
  <si>
    <t>电工套管</t>
  </si>
  <si>
    <t>外观、尺寸、抗压性能、弯曲性能、弯扁性能、冲击性能、跌落性能、耐热性能、氧指数、自熄时间、电气性能</t>
  </si>
  <si>
    <t>按规格批次抽
13×1.2m</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</si>
  <si>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4.45.1</t>
    </r>
    <r>
      <rPr>
        <sz val="10"/>
        <rFont val="宋体"/>
        <charset val="134"/>
      </rPr>
      <t>，</t>
    </r>
    <r>
      <rPr>
        <sz val="10"/>
        <rFont val="Times New Roman"/>
        <charset val="134"/>
      </rPr>
      <t>4.45.4</t>
    </r>
    <r>
      <rPr>
        <sz val="10"/>
        <rFont val="宋体"/>
        <charset val="134"/>
      </rPr>
      <t>，</t>
    </r>
    <r>
      <rPr>
        <sz val="10"/>
        <rFont val="Times New Roman"/>
        <charset val="134"/>
      </rPr>
      <t>4.45.8</t>
    </r>
    <r>
      <rPr>
        <sz val="10"/>
        <rFont val="宋体"/>
        <charset val="134"/>
      </rPr>
      <t>，</t>
    </r>
    <r>
      <rPr>
        <sz val="10"/>
        <rFont val="Times New Roman"/>
        <charset val="134"/>
      </rPr>
      <t>4.45.6</t>
    </r>
    <r>
      <rPr>
        <sz val="10"/>
        <rFont val="宋体"/>
        <charset val="134"/>
      </rPr>
      <t>，</t>
    </r>
    <r>
      <rPr>
        <sz val="10"/>
        <rFont val="Times New Roman"/>
        <charset val="134"/>
      </rPr>
      <t>4.45.7</t>
    </r>
    <r>
      <rPr>
        <sz val="10"/>
        <rFont val="宋体"/>
        <charset val="134"/>
      </rPr>
      <t>，</t>
    </r>
    <r>
      <rPr>
        <sz val="10"/>
        <rFont val="Times New Roman"/>
        <charset val="134"/>
      </rPr>
      <t>4.45.9</t>
    </r>
    <r>
      <rPr>
        <sz val="10"/>
        <rFont val="宋体"/>
        <charset val="134"/>
      </rPr>
      <t>，</t>
    </r>
    <r>
      <rPr>
        <sz val="10"/>
        <rFont val="Times New Roman"/>
        <charset val="134"/>
      </rPr>
      <t>4.45.5</t>
    </r>
    <r>
      <rPr>
        <sz val="10"/>
        <rFont val="宋体"/>
        <charset val="134"/>
      </rPr>
      <t>，</t>
    </r>
    <r>
      <rPr>
        <sz val="10"/>
        <rFont val="Times New Roman"/>
        <charset val="134"/>
      </rPr>
      <t>4.45.12</t>
    </r>
    <r>
      <rPr>
        <sz val="10"/>
        <rFont val="宋体"/>
        <charset val="134"/>
      </rPr>
      <t>，</t>
    </r>
    <r>
      <rPr>
        <sz val="10"/>
        <rFont val="Times New Roman"/>
        <charset val="134"/>
      </rPr>
      <t>4.45.14</t>
    </r>
    <r>
      <rPr>
        <sz val="10"/>
        <rFont val="宋体"/>
        <charset val="134"/>
      </rPr>
      <t>，</t>
    </r>
    <r>
      <rPr>
        <sz val="10"/>
        <rFont val="Times New Roman"/>
        <charset val="134"/>
      </rPr>
      <t>4.45.10</t>
    </r>
    <r>
      <rPr>
        <sz val="10"/>
        <rFont val="宋体"/>
        <charset val="134"/>
      </rPr>
      <t>、</t>
    </r>
    <r>
      <rPr>
        <sz val="10"/>
        <rFont val="Times New Roman"/>
        <charset val="134"/>
      </rPr>
      <t>11</t>
    </r>
  </si>
  <si>
    <t>电工套管配件</t>
  </si>
  <si>
    <t>外观、跌落性能、耐热性能、氧指数、自熄时间、电气性能</t>
  </si>
  <si>
    <r>
      <rPr>
        <sz val="10"/>
        <rFont val="宋体"/>
        <charset val="134"/>
      </rPr>
      <t>按规格批次抽</t>
    </r>
    <r>
      <rPr>
        <sz val="10"/>
        <rFont val="Times New Roman"/>
        <charset val="134"/>
      </rPr>
      <t xml:space="preserve">
9</t>
    </r>
    <r>
      <rPr>
        <sz val="10"/>
        <rFont val="宋体"/>
        <charset val="134"/>
      </rPr>
      <t>个</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</si>
  <si>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4.45.1</t>
    </r>
    <r>
      <rPr>
        <sz val="10"/>
        <rFont val="宋体"/>
        <charset val="134"/>
      </rPr>
      <t>，</t>
    </r>
    <r>
      <rPr>
        <sz val="10"/>
        <rFont val="Times New Roman"/>
        <charset val="134"/>
      </rPr>
      <t>4.45.4</t>
    </r>
    <r>
      <rPr>
        <sz val="10"/>
        <rFont val="宋体"/>
        <charset val="134"/>
      </rPr>
      <t>，</t>
    </r>
    <r>
      <rPr>
        <sz val="10"/>
        <rFont val="Times New Roman"/>
        <charset val="134"/>
      </rPr>
      <t>4.45.12</t>
    </r>
    <r>
      <rPr>
        <sz val="10"/>
        <rFont val="宋体"/>
        <charset val="134"/>
      </rPr>
      <t>，</t>
    </r>
    <r>
      <rPr>
        <sz val="10"/>
        <rFont val="Times New Roman"/>
        <charset val="134"/>
      </rPr>
      <t>4.45.14</t>
    </r>
    <r>
      <rPr>
        <sz val="10"/>
        <rFont val="宋体"/>
        <charset val="134"/>
      </rPr>
      <t>，</t>
    </r>
    <r>
      <rPr>
        <sz val="10"/>
        <rFont val="Times New Roman"/>
        <charset val="134"/>
      </rPr>
      <t>4.45.14</t>
    </r>
    <r>
      <rPr>
        <sz val="10"/>
        <rFont val="宋体"/>
        <charset val="134"/>
      </rPr>
      <t>，</t>
    </r>
    <r>
      <rPr>
        <sz val="10"/>
        <rFont val="Times New Roman"/>
        <charset val="134"/>
      </rPr>
      <t>4.45.10</t>
    </r>
    <r>
      <rPr>
        <sz val="10"/>
        <rFont val="宋体"/>
        <charset val="134"/>
      </rPr>
      <t>、</t>
    </r>
    <r>
      <rPr>
        <sz val="10"/>
        <rFont val="Times New Roman"/>
        <charset val="134"/>
      </rPr>
      <t>11</t>
    </r>
  </si>
  <si>
    <t>PE地下通信用实壁管</t>
  </si>
  <si>
    <t>外观、尺寸、落锤冲击、扁平试验、环刚度、拉伸强度、纵向回缩率</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</si>
  <si>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4.47.1</t>
    </r>
    <r>
      <rPr>
        <sz val="10"/>
        <rFont val="宋体"/>
        <charset val="134"/>
      </rPr>
      <t>，</t>
    </r>
    <r>
      <rPr>
        <sz val="10"/>
        <rFont val="Times New Roman"/>
        <charset val="134"/>
      </rPr>
      <t>4.47.2</t>
    </r>
    <r>
      <rPr>
        <sz val="10"/>
        <rFont val="宋体"/>
        <charset val="134"/>
      </rPr>
      <t>，</t>
    </r>
    <r>
      <rPr>
        <sz val="10"/>
        <rFont val="Times New Roman"/>
        <charset val="134"/>
      </rPr>
      <t>4.47.3</t>
    </r>
    <r>
      <rPr>
        <sz val="10"/>
        <rFont val="宋体"/>
        <charset val="134"/>
      </rPr>
      <t>，</t>
    </r>
    <r>
      <rPr>
        <sz val="10"/>
        <rFont val="Times New Roman"/>
        <charset val="134"/>
      </rPr>
      <t>4.47.5</t>
    </r>
    <r>
      <rPr>
        <sz val="10"/>
        <rFont val="宋体"/>
        <charset val="134"/>
      </rPr>
      <t>，</t>
    </r>
    <r>
      <rPr>
        <sz val="10"/>
        <rFont val="Times New Roman"/>
        <charset val="134"/>
      </rPr>
      <t>4.47.4</t>
    </r>
    <r>
      <rPr>
        <sz val="10"/>
        <rFont val="宋体"/>
        <charset val="134"/>
      </rPr>
      <t>，</t>
    </r>
    <r>
      <rPr>
        <sz val="10"/>
        <rFont val="Times New Roman"/>
        <charset val="134"/>
      </rPr>
      <t>4.47.6</t>
    </r>
    <r>
      <rPr>
        <sz val="10"/>
        <rFont val="宋体"/>
        <charset val="134"/>
      </rPr>
      <t>，</t>
    </r>
    <r>
      <rPr>
        <sz val="10"/>
        <rFont val="Times New Roman"/>
        <charset val="134"/>
      </rPr>
      <t>4.47.7</t>
    </r>
  </si>
  <si>
    <t>通信电缆（网线）</t>
  </si>
  <si>
    <t>近端串音功率和、远端串音功率和、回波损耗、护套老化前拉力试验</t>
  </si>
  <si>
    <t>按规格批次抽100米</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</si>
  <si>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4.61.10</t>
    </r>
    <r>
      <rPr>
        <sz val="10"/>
        <rFont val="宋体"/>
        <charset val="134"/>
      </rPr>
      <t>，</t>
    </r>
    <r>
      <rPr>
        <sz val="10"/>
        <rFont val="Times New Roman"/>
        <charset val="134"/>
      </rPr>
      <t>4.61.14</t>
    </r>
    <r>
      <rPr>
        <sz val="10"/>
        <rFont val="宋体"/>
        <charset val="134"/>
      </rPr>
      <t>，</t>
    </r>
    <r>
      <rPr>
        <sz val="10"/>
        <rFont val="Times New Roman"/>
        <charset val="134"/>
      </rPr>
      <t>4.61.5</t>
    </r>
    <r>
      <rPr>
        <sz val="10"/>
        <rFont val="宋体"/>
        <charset val="134"/>
      </rPr>
      <t>，</t>
    </r>
    <r>
      <rPr>
        <sz val="10"/>
        <rFont val="Times New Roman"/>
        <charset val="134"/>
      </rPr>
      <t>4.55.3</t>
    </r>
  </si>
  <si>
    <t>电线电缆</t>
  </si>
  <si>
    <t>标志、结构尺寸（按每一芯线芯算）、导体电阻（按每一芯线芯算）、绝缘电阻（按每一芯线芯算）、电压试验（按每一芯线芯算）、绝缘老化前拉力试验、护套老化前拉力试验</t>
  </si>
  <si>
    <t>按规格批次：小截面积（≤10mm2）抽20米；大截面积（＞10mm2）抽15米；导体截面积大于50mm2，抽3m。</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</si>
  <si>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4.55.1</t>
    </r>
    <r>
      <rPr>
        <sz val="10"/>
        <rFont val="宋体"/>
        <charset val="134"/>
      </rPr>
      <t>，</t>
    </r>
    <r>
      <rPr>
        <sz val="10"/>
        <rFont val="Times New Roman"/>
        <charset val="134"/>
      </rPr>
      <t>4.55.2</t>
    </r>
    <r>
      <rPr>
        <sz val="10"/>
        <rFont val="宋体"/>
        <charset val="134"/>
      </rPr>
      <t>，</t>
    </r>
    <r>
      <rPr>
        <sz val="10"/>
        <rFont val="Times New Roman"/>
        <charset val="134"/>
      </rPr>
      <t>4.55.6</t>
    </r>
    <r>
      <rPr>
        <sz val="10"/>
        <rFont val="宋体"/>
        <charset val="134"/>
      </rPr>
      <t>，</t>
    </r>
    <r>
      <rPr>
        <sz val="10"/>
        <rFont val="Times New Roman"/>
        <charset val="134"/>
      </rPr>
      <t>4.55.7</t>
    </r>
    <r>
      <rPr>
        <sz val="10"/>
        <rFont val="宋体"/>
        <charset val="134"/>
      </rPr>
      <t>，</t>
    </r>
    <r>
      <rPr>
        <sz val="10"/>
        <rFont val="Times New Roman"/>
        <charset val="134"/>
      </rPr>
      <t>4.55.8</t>
    </r>
    <r>
      <rPr>
        <sz val="10"/>
        <rFont val="宋体"/>
        <charset val="134"/>
      </rPr>
      <t>，</t>
    </r>
    <r>
      <rPr>
        <sz val="10"/>
        <rFont val="Times New Roman"/>
        <charset val="134"/>
      </rPr>
      <t>4.55.3</t>
    </r>
    <r>
      <rPr>
        <sz val="10"/>
        <rFont val="宋体"/>
        <charset val="134"/>
      </rPr>
      <t>，</t>
    </r>
    <r>
      <rPr>
        <sz val="10"/>
        <rFont val="Times New Roman"/>
        <charset val="134"/>
      </rPr>
      <t>4.55.3</t>
    </r>
  </si>
  <si>
    <t>漏电断路器</t>
  </si>
  <si>
    <t>标志检查、电击保护、电气间隙、爬电距离、试验装置动作特性、剩余电流动作特性、时间-电流动作特性、温升、耐潮、绝缘电阻、介电强度、耐热试验、灼热丝试验</t>
  </si>
  <si>
    <t>按规格批次
抽3个</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</si>
  <si>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4.56.13</t>
    </r>
    <r>
      <rPr>
        <sz val="10"/>
        <rFont val="宋体"/>
        <charset val="134"/>
      </rPr>
      <t>，</t>
    </r>
    <r>
      <rPr>
        <sz val="10"/>
        <rFont val="Times New Roman"/>
        <charset val="134"/>
      </rPr>
      <t>4.57.2</t>
    </r>
    <r>
      <rPr>
        <sz val="10"/>
        <rFont val="宋体"/>
        <charset val="134"/>
      </rPr>
      <t>，</t>
    </r>
    <r>
      <rPr>
        <sz val="10"/>
        <rFont val="Times New Roman"/>
        <charset val="134"/>
      </rPr>
      <t>4.56.1</t>
    </r>
    <r>
      <rPr>
        <sz val="10"/>
        <rFont val="宋体"/>
        <charset val="134"/>
      </rPr>
      <t>，</t>
    </r>
    <r>
      <rPr>
        <sz val="10"/>
        <rFont val="Times New Roman"/>
        <charset val="134"/>
      </rPr>
      <t>4.56.2</t>
    </r>
    <r>
      <rPr>
        <sz val="10"/>
        <rFont val="宋体"/>
        <charset val="134"/>
      </rPr>
      <t>，</t>
    </r>
    <r>
      <rPr>
        <sz val="10"/>
        <rFont val="Times New Roman"/>
        <charset val="134"/>
      </rPr>
      <t>4.56.3</t>
    </r>
    <r>
      <rPr>
        <sz val="10"/>
        <rFont val="宋体"/>
        <charset val="134"/>
      </rPr>
      <t>，</t>
    </r>
    <r>
      <rPr>
        <sz val="10"/>
        <rFont val="Times New Roman"/>
        <charset val="134"/>
      </rPr>
      <t>4.56.4</t>
    </r>
    <r>
      <rPr>
        <sz val="10"/>
        <rFont val="宋体"/>
        <charset val="134"/>
      </rPr>
      <t>，</t>
    </r>
    <r>
      <rPr>
        <sz val="10"/>
        <rFont val="Times New Roman"/>
        <charset val="134"/>
      </rPr>
      <t>4.56.5</t>
    </r>
    <r>
      <rPr>
        <sz val="10"/>
        <rFont val="宋体"/>
        <charset val="134"/>
      </rPr>
      <t>，</t>
    </r>
    <r>
      <rPr>
        <sz val="10"/>
        <rFont val="Times New Roman"/>
        <charset val="134"/>
      </rPr>
      <t>4.56.6</t>
    </r>
    <r>
      <rPr>
        <sz val="10"/>
        <rFont val="宋体"/>
        <charset val="134"/>
      </rPr>
      <t>，</t>
    </r>
    <r>
      <rPr>
        <sz val="10"/>
        <rFont val="Times New Roman"/>
        <charset val="134"/>
      </rPr>
      <t>4.56.9</t>
    </r>
    <r>
      <rPr>
        <sz val="10"/>
        <rFont val="宋体"/>
        <charset val="134"/>
      </rPr>
      <t>，</t>
    </r>
    <r>
      <rPr>
        <sz val="10"/>
        <rFont val="Times New Roman"/>
        <charset val="134"/>
      </rPr>
      <t>4.56.11</t>
    </r>
    <r>
      <rPr>
        <sz val="10"/>
        <rFont val="宋体"/>
        <charset val="134"/>
      </rPr>
      <t>，</t>
    </r>
    <r>
      <rPr>
        <sz val="10"/>
        <rFont val="Times New Roman"/>
        <charset val="134"/>
      </rPr>
      <t>4.56.12</t>
    </r>
    <r>
      <rPr>
        <sz val="10"/>
        <rFont val="宋体"/>
        <charset val="134"/>
      </rPr>
      <t>，</t>
    </r>
    <r>
      <rPr>
        <sz val="10"/>
        <rFont val="Times New Roman"/>
        <charset val="134"/>
      </rPr>
      <t>4.57.13</t>
    </r>
    <r>
      <rPr>
        <sz val="10"/>
        <rFont val="宋体"/>
        <charset val="134"/>
      </rPr>
      <t>，</t>
    </r>
    <r>
      <rPr>
        <sz val="10"/>
        <rFont val="Times New Roman"/>
        <charset val="134"/>
      </rPr>
      <t>4.57.14</t>
    </r>
  </si>
  <si>
    <t>小型断路器</t>
  </si>
  <si>
    <t>标志检查、电击保护、电气间隙、爬电距离、时间-电流动作特性、温升、耐潮、绝缘电阻、介电强度、耐热试验、灼热丝试验</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</si>
  <si>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4.56.13</t>
    </r>
    <r>
      <rPr>
        <sz val="10"/>
        <rFont val="宋体"/>
        <charset val="134"/>
      </rPr>
      <t>，</t>
    </r>
    <r>
      <rPr>
        <sz val="10"/>
        <rFont val="Times New Roman"/>
        <charset val="134"/>
      </rPr>
      <t>4.57.2</t>
    </r>
    <r>
      <rPr>
        <sz val="10"/>
        <rFont val="宋体"/>
        <charset val="134"/>
      </rPr>
      <t>，</t>
    </r>
    <r>
      <rPr>
        <sz val="10"/>
        <rFont val="Times New Roman"/>
        <charset val="134"/>
      </rPr>
      <t>4.56.1</t>
    </r>
    <r>
      <rPr>
        <sz val="10"/>
        <rFont val="宋体"/>
        <charset val="134"/>
      </rPr>
      <t>，</t>
    </r>
    <r>
      <rPr>
        <sz val="10"/>
        <rFont val="Times New Roman"/>
        <charset val="134"/>
      </rPr>
      <t>4.56.2</t>
    </r>
    <r>
      <rPr>
        <sz val="10"/>
        <rFont val="宋体"/>
        <charset val="134"/>
      </rPr>
      <t>，</t>
    </r>
    <r>
      <rPr>
        <sz val="10"/>
        <rFont val="Times New Roman"/>
        <charset val="134"/>
      </rPr>
      <t>4.56.5</t>
    </r>
    <r>
      <rPr>
        <sz val="10"/>
        <rFont val="宋体"/>
        <charset val="134"/>
      </rPr>
      <t>，</t>
    </r>
    <r>
      <rPr>
        <sz val="10"/>
        <rFont val="Times New Roman"/>
        <charset val="134"/>
      </rPr>
      <t>4.56.6</t>
    </r>
    <r>
      <rPr>
        <sz val="10"/>
        <rFont val="宋体"/>
        <charset val="134"/>
      </rPr>
      <t>，</t>
    </r>
    <r>
      <rPr>
        <sz val="10"/>
        <rFont val="Times New Roman"/>
        <charset val="134"/>
      </rPr>
      <t>4.56.9</t>
    </r>
    <r>
      <rPr>
        <sz val="10"/>
        <rFont val="宋体"/>
        <charset val="134"/>
      </rPr>
      <t>，</t>
    </r>
    <r>
      <rPr>
        <sz val="10"/>
        <rFont val="Times New Roman"/>
        <charset val="134"/>
      </rPr>
      <t>4.56.11</t>
    </r>
    <r>
      <rPr>
        <sz val="10"/>
        <rFont val="宋体"/>
        <charset val="134"/>
      </rPr>
      <t>，</t>
    </r>
    <r>
      <rPr>
        <sz val="10"/>
        <rFont val="Times New Roman"/>
        <charset val="134"/>
      </rPr>
      <t>4.56.12</t>
    </r>
    <r>
      <rPr>
        <sz val="10"/>
        <rFont val="宋体"/>
        <charset val="134"/>
      </rPr>
      <t>，</t>
    </r>
    <r>
      <rPr>
        <sz val="10"/>
        <rFont val="Times New Roman"/>
        <charset val="134"/>
      </rPr>
      <t>4.57.13</t>
    </r>
    <r>
      <rPr>
        <sz val="10"/>
        <rFont val="宋体"/>
        <charset val="134"/>
      </rPr>
      <t>，</t>
    </r>
    <r>
      <rPr>
        <sz val="10"/>
        <rFont val="Times New Roman"/>
        <charset val="134"/>
      </rPr>
      <t>4.57.14</t>
    </r>
  </si>
  <si>
    <t>塑壳断路器</t>
  </si>
  <si>
    <t>标志检查、电气间隙、爬电距离、验证过载脱扣器、反时限脱扣试验、瞬时脱扣试验、温升、介电性能</t>
  </si>
  <si>
    <t>按规格批次
抽3个（需提供说明书）</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</si>
  <si>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4.56.13</t>
    </r>
    <r>
      <rPr>
        <sz val="10"/>
        <rFont val="宋体"/>
        <charset val="134"/>
      </rPr>
      <t>，</t>
    </r>
    <r>
      <rPr>
        <sz val="10"/>
        <rFont val="Times New Roman"/>
        <charset val="134"/>
      </rPr>
      <t>4.56.1</t>
    </r>
    <r>
      <rPr>
        <sz val="10"/>
        <rFont val="宋体"/>
        <charset val="134"/>
      </rPr>
      <t>，</t>
    </r>
    <r>
      <rPr>
        <sz val="10"/>
        <rFont val="Times New Roman"/>
        <charset val="134"/>
      </rPr>
      <t>4.56.2</t>
    </r>
    <r>
      <rPr>
        <sz val="10"/>
        <rFont val="宋体"/>
        <charset val="134"/>
      </rPr>
      <t>，</t>
    </r>
    <r>
      <rPr>
        <sz val="10"/>
        <rFont val="Times New Roman"/>
        <charset val="134"/>
      </rPr>
      <t>4.56.8</t>
    </r>
    <r>
      <rPr>
        <sz val="10"/>
        <rFont val="宋体"/>
        <charset val="134"/>
      </rPr>
      <t>，</t>
    </r>
    <r>
      <rPr>
        <sz val="10"/>
        <rFont val="Times New Roman"/>
        <charset val="134"/>
      </rPr>
      <t>4.56.8</t>
    </r>
    <r>
      <rPr>
        <sz val="10"/>
        <rFont val="宋体"/>
        <charset val="134"/>
      </rPr>
      <t>，</t>
    </r>
    <r>
      <rPr>
        <sz val="10"/>
        <rFont val="Times New Roman"/>
        <charset val="134"/>
      </rPr>
      <t>4.56.8</t>
    </r>
    <r>
      <rPr>
        <sz val="10"/>
        <rFont val="宋体"/>
        <charset val="134"/>
      </rPr>
      <t>，</t>
    </r>
    <r>
      <rPr>
        <sz val="10"/>
        <rFont val="Times New Roman"/>
        <charset val="134"/>
      </rPr>
      <t>4.56.6</t>
    </r>
    <r>
      <rPr>
        <sz val="10"/>
        <rFont val="宋体"/>
        <charset val="134"/>
      </rPr>
      <t>，</t>
    </r>
    <r>
      <rPr>
        <sz val="10"/>
        <rFont val="Times New Roman"/>
        <charset val="134"/>
      </rPr>
      <t>4.56.12</t>
    </r>
  </si>
  <si>
    <t>面板开关</t>
  </si>
  <si>
    <t>标志检查、防触电保护、温升、电气间隙、爬电距离、耐潮、电气强度、绝缘电阻、通断能力、耐热试验、灼热丝试验</t>
  </si>
  <si>
    <r>
      <rPr>
        <sz val="10"/>
        <rFont val="宋体"/>
        <charset val="134"/>
      </rPr>
      <t>按规格批次抽</t>
    </r>
    <r>
      <rPr>
        <sz val="10"/>
        <rFont val="Times New Roman"/>
        <charset val="134"/>
      </rPr>
      <t xml:space="preserve">
6</t>
    </r>
    <r>
      <rPr>
        <sz val="10"/>
        <rFont val="宋体"/>
        <charset val="134"/>
      </rPr>
      <t>个</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</si>
  <si>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4.57.1</t>
    </r>
    <r>
      <rPr>
        <sz val="10"/>
        <rFont val="宋体"/>
        <charset val="134"/>
      </rPr>
      <t>，</t>
    </r>
    <r>
      <rPr>
        <sz val="10"/>
        <rFont val="Times New Roman"/>
        <charset val="134"/>
      </rPr>
      <t>4.57.2</t>
    </r>
    <r>
      <rPr>
        <sz val="10"/>
        <rFont val="宋体"/>
        <charset val="134"/>
      </rPr>
      <t>，</t>
    </r>
    <r>
      <rPr>
        <sz val="10"/>
        <rFont val="Times New Roman"/>
        <charset val="134"/>
      </rPr>
      <t>4.57.4</t>
    </r>
    <r>
      <rPr>
        <sz val="10"/>
        <rFont val="宋体"/>
        <charset val="134"/>
      </rPr>
      <t>，</t>
    </r>
    <r>
      <rPr>
        <sz val="10"/>
        <rFont val="Times New Roman"/>
        <charset val="134"/>
      </rPr>
      <t>4.57.5</t>
    </r>
    <r>
      <rPr>
        <sz val="10"/>
        <rFont val="宋体"/>
        <charset val="134"/>
      </rPr>
      <t>，</t>
    </r>
    <r>
      <rPr>
        <sz val="10"/>
        <rFont val="Times New Roman"/>
        <charset val="134"/>
      </rPr>
      <t>4.57.6</t>
    </r>
    <r>
      <rPr>
        <sz val="10"/>
        <rFont val="宋体"/>
        <charset val="134"/>
      </rPr>
      <t>，</t>
    </r>
    <r>
      <rPr>
        <sz val="10"/>
        <rFont val="Times New Roman"/>
        <charset val="134"/>
      </rPr>
      <t>4.57.7</t>
    </r>
    <r>
      <rPr>
        <sz val="10"/>
        <rFont val="宋体"/>
        <charset val="134"/>
      </rPr>
      <t>，</t>
    </r>
    <r>
      <rPr>
        <sz val="10"/>
        <rFont val="Times New Roman"/>
        <charset val="134"/>
      </rPr>
      <t>4.57.8</t>
    </r>
    <r>
      <rPr>
        <sz val="10"/>
        <rFont val="宋体"/>
        <charset val="134"/>
      </rPr>
      <t>，</t>
    </r>
    <r>
      <rPr>
        <sz val="10"/>
        <rFont val="Times New Roman"/>
        <charset val="134"/>
      </rPr>
      <t>4.57.9</t>
    </r>
    <r>
      <rPr>
        <sz val="10"/>
        <rFont val="宋体"/>
        <charset val="134"/>
      </rPr>
      <t>，</t>
    </r>
    <r>
      <rPr>
        <sz val="10"/>
        <rFont val="Times New Roman"/>
        <charset val="134"/>
      </rPr>
      <t>4.57.12</t>
    </r>
    <r>
      <rPr>
        <sz val="10"/>
        <rFont val="宋体"/>
        <charset val="134"/>
      </rPr>
      <t>，</t>
    </r>
    <r>
      <rPr>
        <sz val="10"/>
        <rFont val="Times New Roman"/>
        <charset val="134"/>
      </rPr>
      <t>4.57.13</t>
    </r>
    <r>
      <rPr>
        <sz val="10"/>
        <rFont val="宋体"/>
        <charset val="134"/>
      </rPr>
      <t>，</t>
    </r>
    <r>
      <rPr>
        <sz val="10"/>
        <rFont val="Times New Roman"/>
        <charset val="134"/>
      </rPr>
      <t>4.57.14</t>
    </r>
  </si>
  <si>
    <t>灯具</t>
  </si>
  <si>
    <t>显色指数、相关色温、
光通量、光效、功率、功率因数</t>
  </si>
  <si>
    <r>
      <rPr>
        <sz val="10"/>
        <rFont val="宋体"/>
        <charset val="134"/>
      </rPr>
      <t xml:space="preserve">按规格批次抽
</t>
    </r>
    <r>
      <rPr>
        <sz val="10"/>
        <rFont val="Times New Roman"/>
        <charset val="134"/>
      </rPr>
      <t>3</t>
    </r>
    <r>
      <rPr>
        <sz val="10"/>
        <rFont val="宋体"/>
        <charset val="134"/>
      </rPr>
      <t>个</t>
    </r>
  </si>
  <si>
    <t>粤建检协【2015】8号文4.58.18、4.58.19</t>
  </si>
  <si>
    <t>饰面砖、涂料、板材</t>
  </si>
  <si>
    <t>太阳辐射吸收系数</t>
  </si>
  <si>
    <t>同一厂家、同一规格、型号为一批</t>
  </si>
  <si>
    <t>粤建检协【2015】8号文6.6.5</t>
  </si>
  <si>
    <t>保温板、保温棉</t>
  </si>
  <si>
    <t>密度、压缩强度、导热系数、稳定性</t>
  </si>
  <si>
    <t>300m³/组、常规检测</t>
  </si>
  <si>
    <t>粤建检协【2015】8号文4.52</t>
  </si>
  <si>
    <t>建筑材料及制品</t>
  </si>
  <si>
    <t>燃烧性能（A,B级）</t>
  </si>
  <si>
    <t>不同规格/组</t>
  </si>
  <si>
    <t>粤建检协【2015】8号文4.66.4</t>
  </si>
  <si>
    <t>插头插座/带开关插座</t>
  </si>
  <si>
    <t>标志检查、防触电保护、接地措施、温升、电气间隙、爬电距离、耐潮、电气强度、绝缘电阻、分断容量、耐热试验、灼热丝试验</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</si>
  <si>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4.57.1</t>
    </r>
    <r>
      <rPr>
        <sz val="10"/>
        <rFont val="宋体"/>
        <charset val="134"/>
      </rPr>
      <t>，</t>
    </r>
    <r>
      <rPr>
        <sz val="10"/>
        <rFont val="Times New Roman"/>
        <charset val="134"/>
      </rPr>
      <t>4.57.2</t>
    </r>
    <r>
      <rPr>
        <sz val="10"/>
        <rFont val="宋体"/>
        <charset val="134"/>
      </rPr>
      <t>，</t>
    </r>
    <r>
      <rPr>
        <sz val="10"/>
        <rFont val="Times New Roman"/>
        <charset val="134"/>
      </rPr>
      <t>4.57.3</t>
    </r>
    <r>
      <rPr>
        <sz val="10"/>
        <rFont val="宋体"/>
        <charset val="134"/>
      </rPr>
      <t>，</t>
    </r>
    <r>
      <rPr>
        <sz val="10"/>
        <rFont val="Times New Roman"/>
        <charset val="134"/>
      </rPr>
      <t>4.57.4</t>
    </r>
    <r>
      <rPr>
        <sz val="10"/>
        <rFont val="宋体"/>
        <charset val="134"/>
      </rPr>
      <t>，</t>
    </r>
    <r>
      <rPr>
        <sz val="10"/>
        <rFont val="Times New Roman"/>
        <charset val="134"/>
      </rPr>
      <t>4.57.5</t>
    </r>
    <r>
      <rPr>
        <sz val="10"/>
        <rFont val="宋体"/>
        <charset val="134"/>
      </rPr>
      <t>，</t>
    </r>
    <r>
      <rPr>
        <sz val="10"/>
        <rFont val="Times New Roman"/>
        <charset val="134"/>
      </rPr>
      <t>4.57.6</t>
    </r>
    <r>
      <rPr>
        <sz val="10"/>
        <rFont val="宋体"/>
        <charset val="134"/>
      </rPr>
      <t>，</t>
    </r>
    <r>
      <rPr>
        <sz val="10"/>
        <rFont val="Times New Roman"/>
        <charset val="134"/>
      </rPr>
      <t>4.57.7</t>
    </r>
    <r>
      <rPr>
        <sz val="10"/>
        <rFont val="宋体"/>
        <charset val="134"/>
      </rPr>
      <t>，</t>
    </r>
    <r>
      <rPr>
        <sz val="10"/>
        <rFont val="Times New Roman"/>
        <charset val="134"/>
      </rPr>
      <t>4.57.8</t>
    </r>
    <r>
      <rPr>
        <sz val="10"/>
        <rFont val="宋体"/>
        <charset val="134"/>
      </rPr>
      <t>，</t>
    </r>
    <r>
      <rPr>
        <sz val="10"/>
        <rFont val="Times New Roman"/>
        <charset val="134"/>
      </rPr>
      <t>4.57.9</t>
    </r>
    <r>
      <rPr>
        <sz val="10"/>
        <rFont val="宋体"/>
        <charset val="134"/>
      </rPr>
      <t>，</t>
    </r>
    <r>
      <rPr>
        <sz val="10"/>
        <rFont val="Times New Roman"/>
        <charset val="134"/>
      </rPr>
      <t>4.57.12</t>
    </r>
    <r>
      <rPr>
        <sz val="10"/>
        <rFont val="宋体"/>
        <charset val="134"/>
      </rPr>
      <t>，</t>
    </r>
    <r>
      <rPr>
        <sz val="10"/>
        <rFont val="Times New Roman"/>
        <charset val="134"/>
      </rPr>
      <t>4.57.13</t>
    </r>
    <r>
      <rPr>
        <sz val="10"/>
        <rFont val="宋体"/>
        <charset val="134"/>
      </rPr>
      <t>，</t>
    </r>
    <r>
      <rPr>
        <sz val="10"/>
        <rFont val="Times New Roman"/>
        <charset val="134"/>
      </rPr>
      <t>4.57.14</t>
    </r>
  </si>
  <si>
    <t>短纤针刺非织造土工布</t>
  </si>
  <si>
    <t>单位面积质量偏差率、厚度偏差率、幅宽偏差率、纵横向撕破强力、顶破强力、垂直渗透系数、纵横向断裂强度、标称断裂强度对应伸长率、等效孔径、刺破强力</t>
  </si>
  <si>
    <t>等幅宽3m长</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</si>
  <si>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10.18.1</t>
    </r>
    <r>
      <rPr>
        <sz val="10"/>
        <rFont val="宋体"/>
        <charset val="134"/>
      </rPr>
      <t>，</t>
    </r>
    <r>
      <rPr>
        <sz val="10"/>
        <rFont val="Times New Roman"/>
        <charset val="134"/>
      </rPr>
      <t>10.18.2</t>
    </r>
    <r>
      <rPr>
        <sz val="10"/>
        <rFont val="宋体"/>
        <charset val="134"/>
      </rPr>
      <t>，</t>
    </r>
    <r>
      <rPr>
        <sz val="10"/>
        <rFont val="Times New Roman"/>
        <charset val="134"/>
      </rPr>
      <t>10.18.7</t>
    </r>
    <r>
      <rPr>
        <sz val="10"/>
        <rFont val="宋体"/>
        <charset val="134"/>
      </rPr>
      <t>，</t>
    </r>
    <r>
      <rPr>
        <sz val="10"/>
        <rFont val="Times New Roman"/>
        <charset val="134"/>
      </rPr>
      <t>10.18.3</t>
    </r>
    <r>
      <rPr>
        <sz val="10"/>
        <rFont val="宋体"/>
        <charset val="134"/>
      </rPr>
      <t>，</t>
    </r>
    <r>
      <rPr>
        <sz val="10"/>
        <rFont val="Times New Roman"/>
        <charset val="134"/>
      </rPr>
      <t>10.18.4</t>
    </r>
    <r>
      <rPr>
        <sz val="10"/>
        <rFont val="宋体"/>
        <charset val="134"/>
      </rPr>
      <t>，</t>
    </r>
    <r>
      <rPr>
        <sz val="10"/>
        <rFont val="Times New Roman"/>
        <charset val="134"/>
      </rPr>
      <t>10.18.6</t>
    </r>
    <r>
      <rPr>
        <sz val="10"/>
        <rFont val="宋体"/>
        <charset val="134"/>
      </rPr>
      <t>，</t>
    </r>
    <r>
      <rPr>
        <sz val="10"/>
        <rFont val="Times New Roman"/>
        <charset val="134"/>
      </rPr>
      <t>10.18.8</t>
    </r>
    <r>
      <rPr>
        <sz val="10"/>
        <rFont val="宋体"/>
        <charset val="134"/>
      </rPr>
      <t>，</t>
    </r>
    <r>
      <rPr>
        <sz val="10"/>
        <rFont val="Times New Roman"/>
        <charset val="134"/>
      </rPr>
      <t>10.18.9</t>
    </r>
    <r>
      <rPr>
        <sz val="10"/>
        <rFont val="宋体"/>
        <charset val="134"/>
      </rPr>
      <t>，</t>
    </r>
    <r>
      <rPr>
        <sz val="10"/>
        <rFont val="Times New Roman"/>
        <charset val="134"/>
      </rPr>
      <t>10.18.15</t>
    </r>
    <r>
      <rPr>
        <sz val="10"/>
        <rFont val="宋体"/>
        <charset val="134"/>
      </rPr>
      <t>，</t>
    </r>
    <r>
      <rPr>
        <sz val="10"/>
        <rFont val="Times New Roman"/>
        <charset val="134"/>
      </rPr>
      <t>10.18.5</t>
    </r>
  </si>
  <si>
    <t>玻璃纤维土工格栅</t>
  </si>
  <si>
    <t>断裂强力（纵、横向）、断裂伸长率（纵、横向）、网眼目数、网眼尺寸</t>
  </si>
  <si>
    <t>2m×2m</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</si>
  <si>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10.18.8</t>
    </r>
    <r>
      <rPr>
        <sz val="10"/>
        <rFont val="宋体"/>
        <charset val="134"/>
      </rPr>
      <t>，</t>
    </r>
    <r>
      <rPr>
        <sz val="10"/>
        <rFont val="Times New Roman"/>
        <charset val="134"/>
      </rPr>
      <t>10.18.19</t>
    </r>
    <r>
      <rPr>
        <sz val="10"/>
        <rFont val="宋体"/>
        <charset val="134"/>
      </rPr>
      <t>，</t>
    </r>
    <r>
      <rPr>
        <sz val="10"/>
        <rFont val="Times New Roman"/>
        <charset val="134"/>
      </rPr>
      <t>10.18.21</t>
    </r>
    <r>
      <rPr>
        <sz val="10"/>
        <rFont val="宋体"/>
        <charset val="134"/>
      </rPr>
      <t>，</t>
    </r>
    <r>
      <rPr>
        <sz val="10"/>
        <rFont val="Times New Roman"/>
        <charset val="134"/>
      </rPr>
      <t>10.18.21</t>
    </r>
  </si>
  <si>
    <t>聚乙烯土工膜</t>
  </si>
  <si>
    <t>拉伸断裂强度、拉伸屈服强度、断裂伸长率、屈服伸长率、直角撕裂负荷、抗穿刺强力、厚度</t>
  </si>
  <si>
    <t>整幅宽,
0.5m长</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</si>
  <si>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10.18.10</t>
    </r>
    <r>
      <rPr>
        <sz val="10"/>
        <rFont val="宋体"/>
        <charset val="134"/>
      </rPr>
      <t>，</t>
    </r>
    <r>
      <rPr>
        <sz val="10"/>
        <rFont val="Times New Roman"/>
        <charset val="134"/>
      </rPr>
      <t>10.18.10</t>
    </r>
    <r>
      <rPr>
        <sz val="10"/>
        <rFont val="宋体"/>
        <charset val="134"/>
      </rPr>
      <t>，</t>
    </r>
    <r>
      <rPr>
        <sz val="10"/>
        <rFont val="Times New Roman"/>
        <charset val="134"/>
      </rPr>
      <t>10.18.9</t>
    </r>
    <r>
      <rPr>
        <sz val="10"/>
        <rFont val="宋体"/>
        <charset val="134"/>
      </rPr>
      <t>，</t>
    </r>
    <r>
      <rPr>
        <sz val="10"/>
        <rFont val="Times New Roman"/>
        <charset val="134"/>
      </rPr>
      <t>10.18.9</t>
    </r>
    <r>
      <rPr>
        <sz val="10"/>
        <rFont val="宋体"/>
        <charset val="134"/>
      </rPr>
      <t>，</t>
    </r>
    <r>
      <rPr>
        <sz val="10"/>
        <rFont val="Times New Roman"/>
        <charset val="134"/>
      </rPr>
      <t>10.18.11</t>
    </r>
    <r>
      <rPr>
        <sz val="10"/>
        <rFont val="宋体"/>
        <charset val="134"/>
      </rPr>
      <t>，</t>
    </r>
    <r>
      <rPr>
        <sz val="10"/>
        <rFont val="Times New Roman"/>
        <charset val="134"/>
      </rPr>
      <t>10.18.5</t>
    </r>
    <r>
      <rPr>
        <sz val="10"/>
        <rFont val="宋体"/>
        <charset val="134"/>
      </rPr>
      <t>，</t>
    </r>
    <r>
      <rPr>
        <sz val="10"/>
        <rFont val="Times New Roman"/>
        <charset val="134"/>
      </rPr>
      <t>10.18.2</t>
    </r>
  </si>
  <si>
    <t>塑料排水板</t>
  </si>
  <si>
    <t>宽度、厚度、塑料排水板抗拉强度、滤膜抗拉强度（干拉、湿拉）、滤膜渗透系数、纵向通水量</t>
  </si>
  <si>
    <t>4m</t>
  </si>
  <si>
    <r>
      <rPr>
        <sz val="9"/>
        <rFont val="宋体"/>
        <charset val="134"/>
      </rPr>
      <t>粤建检协</t>
    </r>
    <r>
      <rPr>
        <sz val="9"/>
        <rFont val="Times New Roman"/>
        <charset val="134"/>
      </rPr>
      <t>[2015]8</t>
    </r>
    <r>
      <rPr>
        <sz val="9"/>
        <rFont val="宋体"/>
        <charset val="134"/>
      </rPr>
      <t>号文</t>
    </r>
    <r>
      <rPr>
        <sz val="9"/>
        <rFont val="Times New Roman"/>
        <charset val="134"/>
      </rPr>
      <t>4.42.6</t>
    </r>
    <r>
      <rPr>
        <sz val="9"/>
        <rFont val="宋体"/>
        <charset val="134"/>
      </rPr>
      <t>，</t>
    </r>
    <r>
      <rPr>
        <sz val="9"/>
        <rFont val="Times New Roman"/>
        <charset val="134"/>
      </rPr>
      <t>4.42.1</t>
    </r>
    <r>
      <rPr>
        <sz val="9"/>
        <rFont val="宋体"/>
        <charset val="134"/>
      </rPr>
      <t>，</t>
    </r>
    <r>
      <rPr>
        <sz val="9"/>
        <rFont val="Times New Roman"/>
        <charset val="134"/>
      </rPr>
      <t>4.42.2</t>
    </r>
    <r>
      <rPr>
        <sz val="9"/>
        <rFont val="宋体"/>
        <charset val="134"/>
      </rPr>
      <t>，</t>
    </r>
    <r>
      <rPr>
        <sz val="9"/>
        <rFont val="Times New Roman"/>
        <charset val="134"/>
      </rPr>
      <t>4.42.3</t>
    </r>
    <r>
      <rPr>
        <sz val="9"/>
        <rFont val="宋体"/>
        <charset val="134"/>
      </rPr>
      <t>，</t>
    </r>
    <r>
      <rPr>
        <sz val="9"/>
        <rFont val="Times New Roman"/>
        <charset val="134"/>
      </rPr>
      <t>4.42.5</t>
    </r>
  </si>
  <si>
    <t>耐碱玻璃纤
维网布</t>
  </si>
  <si>
    <t>单位面积质量、断裂强力/拉伸断裂强力/耐碱断裂强力、断裂伸长率、耐碱强力保留率、耐碱性</t>
  </si>
  <si>
    <t>等幅宽2米</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</si>
  <si>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4.50.6</t>
    </r>
    <r>
      <rPr>
        <sz val="10"/>
        <rFont val="宋体"/>
        <charset val="134"/>
      </rPr>
      <t>，</t>
    </r>
    <r>
      <rPr>
        <sz val="10"/>
        <rFont val="Times New Roman"/>
        <charset val="134"/>
      </rPr>
      <t>4.50.4</t>
    </r>
    <r>
      <rPr>
        <sz val="10"/>
        <rFont val="宋体"/>
        <charset val="134"/>
      </rPr>
      <t>，</t>
    </r>
    <r>
      <rPr>
        <sz val="10"/>
        <rFont val="Times New Roman"/>
        <charset val="134"/>
      </rPr>
      <t>4.50.5</t>
    </r>
    <r>
      <rPr>
        <sz val="10"/>
        <rFont val="宋体"/>
        <charset val="134"/>
      </rPr>
      <t>，</t>
    </r>
    <r>
      <rPr>
        <sz val="10"/>
        <rFont val="Times New Roman"/>
        <charset val="134"/>
      </rPr>
      <t>4.50.7</t>
    </r>
  </si>
  <si>
    <t>实木地板/
实木复合地板</t>
  </si>
  <si>
    <t>外观质量、尺寸、含水率、漆膜表面附着力、漆膜硬度、表面耐污染、静曲强度、弹性模量</t>
  </si>
  <si>
    <t>10块</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</si>
  <si>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4.53.1</t>
    </r>
    <r>
      <rPr>
        <sz val="10"/>
        <rFont val="宋体"/>
        <charset val="134"/>
      </rPr>
      <t>，</t>
    </r>
    <r>
      <rPr>
        <sz val="10"/>
        <rFont val="Times New Roman"/>
        <charset val="134"/>
      </rPr>
      <t>4.53.2</t>
    </r>
    <r>
      <rPr>
        <sz val="10"/>
        <rFont val="宋体"/>
        <charset val="134"/>
      </rPr>
      <t>，</t>
    </r>
    <r>
      <rPr>
        <sz val="10"/>
        <rFont val="Times New Roman"/>
        <charset val="134"/>
      </rPr>
      <t>4.53.3</t>
    </r>
    <r>
      <rPr>
        <sz val="10"/>
        <rFont val="宋体"/>
        <charset val="134"/>
      </rPr>
      <t>，</t>
    </r>
    <r>
      <rPr>
        <sz val="10"/>
        <rFont val="Times New Roman"/>
        <charset val="134"/>
      </rPr>
      <t>4.53.5</t>
    </r>
    <r>
      <rPr>
        <sz val="10"/>
        <rFont val="宋体"/>
        <charset val="134"/>
      </rPr>
      <t>，</t>
    </r>
    <r>
      <rPr>
        <sz val="10"/>
        <rFont val="Times New Roman"/>
        <charset val="134"/>
      </rPr>
      <t>4.53.6</t>
    </r>
    <r>
      <rPr>
        <sz val="10"/>
        <rFont val="宋体"/>
        <charset val="134"/>
      </rPr>
      <t>，</t>
    </r>
    <r>
      <rPr>
        <sz val="10"/>
        <rFont val="Times New Roman"/>
        <charset val="134"/>
      </rPr>
      <t>4.53.19</t>
    </r>
    <r>
      <rPr>
        <sz val="10"/>
        <rFont val="宋体"/>
        <charset val="134"/>
      </rPr>
      <t>，</t>
    </r>
    <r>
      <rPr>
        <sz val="10"/>
        <rFont val="Times New Roman"/>
        <charset val="134"/>
      </rPr>
      <t>4.53.10</t>
    </r>
  </si>
  <si>
    <t>防静电活动地板</t>
  </si>
  <si>
    <t>外观、尺寸偏差、对地电阻</t>
  </si>
  <si>
    <t>2块地板、1套支撑</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</si>
  <si>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4.59.1</t>
    </r>
    <r>
      <rPr>
        <sz val="10"/>
        <rFont val="宋体"/>
        <charset val="134"/>
      </rPr>
      <t>，</t>
    </r>
    <r>
      <rPr>
        <sz val="10"/>
        <rFont val="Times New Roman"/>
        <charset val="134"/>
      </rPr>
      <t>4.59.2 </t>
    </r>
    <r>
      <rPr>
        <sz val="10"/>
        <rFont val="宋体"/>
        <charset val="134"/>
      </rPr>
      <t>，</t>
    </r>
    <r>
      <rPr>
        <sz val="10"/>
        <rFont val="Times New Roman"/>
        <charset val="134"/>
      </rPr>
      <t>4.59.6</t>
    </r>
  </si>
  <si>
    <t>地坪涂料</t>
  </si>
  <si>
    <t>VOC；游离甲醛；苯；甲苯、乙苯、二甲苯总和；苯、甲苯、乙苯、二甲苯总和；游离二异氰酸酯（TDI、HDI）；乙二醇醚及醚酯总和；邻苯二甲酸酯；游离4,4'-二氨基二苯甲烷（MDA）；可溶性铅；可溶性镉；可溶性铬；可溶性汞；TVOC释放量；甲醛释放量</t>
  </si>
  <si>
    <t>取样量2.0kg</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</si>
  <si>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11.4.2</t>
    </r>
    <r>
      <rPr>
        <sz val="10"/>
        <rFont val="宋体"/>
        <charset val="134"/>
      </rPr>
      <t>，</t>
    </r>
    <r>
      <rPr>
        <sz val="10"/>
        <rFont val="Times New Roman"/>
        <charset val="134"/>
      </rPr>
      <t>11.4.7</t>
    </r>
    <r>
      <rPr>
        <sz val="10"/>
        <rFont val="宋体"/>
        <charset val="134"/>
      </rPr>
      <t>，</t>
    </r>
    <r>
      <rPr>
        <sz val="10"/>
        <rFont val="Times New Roman"/>
        <charset val="134"/>
      </rPr>
      <t>11.4.3</t>
    </r>
    <r>
      <rPr>
        <sz val="10"/>
        <rFont val="宋体"/>
        <charset val="134"/>
      </rPr>
      <t>，</t>
    </r>
    <r>
      <rPr>
        <sz val="10"/>
        <rFont val="Times New Roman"/>
        <charset val="134"/>
      </rPr>
      <t>11.4.4</t>
    </r>
    <r>
      <rPr>
        <sz val="10"/>
        <rFont val="宋体"/>
        <charset val="134"/>
      </rPr>
      <t>，</t>
    </r>
    <r>
      <rPr>
        <sz val="10"/>
        <rFont val="Times New Roman"/>
        <charset val="134"/>
      </rPr>
      <t>11.4.3</t>
    </r>
    <r>
      <rPr>
        <sz val="10"/>
        <rFont val="宋体"/>
        <charset val="134"/>
      </rPr>
      <t>，</t>
    </r>
    <r>
      <rPr>
        <sz val="10"/>
        <rFont val="Times New Roman"/>
        <charset val="134"/>
      </rPr>
      <t>11.4.4</t>
    </r>
    <r>
      <rPr>
        <sz val="10"/>
        <rFont val="宋体"/>
        <charset val="134"/>
      </rPr>
      <t>，</t>
    </r>
    <r>
      <rPr>
        <sz val="10"/>
        <rFont val="Times New Roman"/>
        <charset val="134"/>
      </rPr>
      <t>11.4.5</t>
    </r>
    <r>
      <rPr>
        <sz val="10"/>
        <rFont val="宋体"/>
        <charset val="134"/>
      </rPr>
      <t>，市场价，市场价，市场价，</t>
    </r>
    <r>
      <rPr>
        <sz val="10"/>
        <rFont val="Times New Roman"/>
        <charset val="134"/>
      </rPr>
      <t>11.4.6</t>
    </r>
    <r>
      <rPr>
        <sz val="10"/>
        <rFont val="宋体"/>
        <charset val="134"/>
      </rPr>
      <t>，</t>
    </r>
    <r>
      <rPr>
        <sz val="10"/>
        <rFont val="Times New Roman"/>
        <charset val="134"/>
      </rPr>
      <t>11.4.6</t>
    </r>
    <r>
      <rPr>
        <sz val="10"/>
        <rFont val="宋体"/>
        <charset val="134"/>
      </rPr>
      <t>，</t>
    </r>
    <r>
      <rPr>
        <sz val="10"/>
        <rFont val="Times New Roman"/>
        <charset val="134"/>
      </rPr>
      <t>11.4.6</t>
    </r>
    <r>
      <rPr>
        <sz val="10"/>
        <rFont val="宋体"/>
        <charset val="134"/>
      </rPr>
      <t>，</t>
    </r>
    <r>
      <rPr>
        <sz val="10"/>
        <rFont val="Times New Roman"/>
        <charset val="134"/>
      </rPr>
      <t>11.4.6</t>
    </r>
    <r>
      <rPr>
        <sz val="10"/>
        <rFont val="宋体"/>
        <charset val="134"/>
      </rPr>
      <t>，</t>
    </r>
    <r>
      <rPr>
        <sz val="10"/>
        <rFont val="Times New Roman"/>
        <charset val="134"/>
      </rPr>
      <t>11.4.2</t>
    </r>
    <r>
      <rPr>
        <sz val="10"/>
        <rFont val="宋体"/>
        <charset val="134"/>
      </rPr>
      <t>，</t>
    </r>
    <r>
      <rPr>
        <sz val="10"/>
        <rFont val="Times New Roman"/>
        <charset val="134"/>
      </rPr>
      <t>11.4.1</t>
    </r>
  </si>
  <si>
    <t>PVC地板</t>
  </si>
  <si>
    <t>挥发物含量、可溶性铅、可溶性镉</t>
  </si>
  <si>
    <t>每批产品中抽取1卷样品，去掉样品卷最外3层后裁取1m</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</si>
  <si>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11.4.2</t>
    </r>
    <r>
      <rPr>
        <sz val="10"/>
        <rFont val="宋体"/>
        <charset val="134"/>
      </rPr>
      <t>、</t>
    </r>
    <r>
      <rPr>
        <sz val="10"/>
        <rFont val="Times New Roman"/>
        <charset val="134"/>
      </rPr>
      <t>11.4.6</t>
    </r>
    <r>
      <rPr>
        <sz val="10"/>
        <rFont val="宋体"/>
        <charset val="134"/>
      </rPr>
      <t>、</t>
    </r>
    <r>
      <rPr>
        <sz val="10"/>
        <rFont val="Times New Roman"/>
        <charset val="134"/>
      </rPr>
      <t>11.4.6</t>
    </r>
  </si>
  <si>
    <t>地毯、地毯衬垫</t>
  </si>
  <si>
    <t>VOC、游离甲醛</t>
  </si>
  <si>
    <t>送样量1m2</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</si>
  <si>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11.4.2</t>
    </r>
    <r>
      <rPr>
        <sz val="10"/>
        <rFont val="宋体"/>
        <charset val="134"/>
      </rPr>
      <t>，</t>
    </r>
    <r>
      <rPr>
        <sz val="10"/>
        <rFont val="Times New Roman"/>
        <charset val="134"/>
      </rPr>
      <t>11.4.7</t>
    </r>
  </si>
  <si>
    <t>高分子装饰材料</t>
  </si>
  <si>
    <t>甲醛释放量（环境舱法）、TVOC释放量</t>
  </si>
  <si>
    <t>500mm×500mm，4块</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</si>
  <si>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号文11.4.1，</t>
    </r>
    <r>
      <rPr>
        <sz val="10"/>
        <rFont val="Times New Roman"/>
        <charset val="134"/>
      </rPr>
      <t>11.4.2</t>
    </r>
  </si>
  <si>
    <t>木家具</t>
  </si>
  <si>
    <t>甲醛释放量(干燥器法)、可溶性重金属（汞）、可溶性重金属（铅）、可溶性重金属（铬）、可溶性重金属（镉）</t>
  </si>
  <si>
    <t>送样量20块（15cm×5cm，需使用石蜡或者塑料薄膜封边）</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</si>
  <si>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11.4.1</t>
    </r>
    <r>
      <rPr>
        <sz val="10"/>
        <rFont val="宋体"/>
        <charset val="134"/>
      </rPr>
      <t>，</t>
    </r>
    <r>
      <rPr>
        <sz val="10"/>
        <rFont val="Times New Roman"/>
        <charset val="134"/>
      </rPr>
      <t>11.4.6</t>
    </r>
    <r>
      <rPr>
        <sz val="10"/>
        <rFont val="宋体"/>
        <charset val="134"/>
      </rPr>
      <t>，</t>
    </r>
    <r>
      <rPr>
        <sz val="10"/>
        <rFont val="Times New Roman"/>
        <charset val="134"/>
      </rPr>
      <t>11.4.6</t>
    </r>
    <r>
      <rPr>
        <sz val="10"/>
        <rFont val="宋体"/>
        <charset val="134"/>
      </rPr>
      <t>，</t>
    </r>
    <r>
      <rPr>
        <sz val="10"/>
        <rFont val="Times New Roman"/>
        <charset val="134"/>
      </rPr>
      <t>11.4.6</t>
    </r>
    <r>
      <rPr>
        <sz val="10"/>
        <rFont val="宋体"/>
        <charset val="134"/>
      </rPr>
      <t>，</t>
    </r>
    <r>
      <rPr>
        <sz val="10"/>
        <rFont val="Times New Roman"/>
        <charset val="134"/>
      </rPr>
      <t>11.4.6</t>
    </r>
  </si>
  <si>
    <t>建筑用墙面涂料</t>
  </si>
  <si>
    <t>游离甲醛、苯系物总和含量（苯、甲苯、二甲苯、乙苯）、总铅含量、可溶性镉含量、可溶性铬含量、可溶性汞含量、VOC含量、乙二醇醚及醚酯总和含量、卤代烃总和含量</t>
  </si>
  <si>
    <t>送样量0.5kg；
同批次产品检验报告的检测项目不全或检测结果不符合设计要求和规范要求时需复验</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</si>
  <si>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11.4.7</t>
    </r>
    <r>
      <rPr>
        <sz val="10"/>
        <rFont val="宋体"/>
        <charset val="134"/>
      </rPr>
      <t>，</t>
    </r>
    <r>
      <rPr>
        <sz val="10"/>
        <rFont val="Times New Roman"/>
        <charset val="134"/>
      </rPr>
      <t>11.4.4</t>
    </r>
    <r>
      <rPr>
        <sz val="10"/>
        <rFont val="宋体"/>
        <charset val="134"/>
      </rPr>
      <t>，按市场价，</t>
    </r>
    <r>
      <rPr>
        <sz val="10"/>
        <rFont val="Times New Roman"/>
        <charset val="134"/>
      </rPr>
      <t>11.4.6</t>
    </r>
    <r>
      <rPr>
        <sz val="10"/>
        <rFont val="宋体"/>
        <charset val="134"/>
      </rPr>
      <t>，</t>
    </r>
    <r>
      <rPr>
        <sz val="10"/>
        <rFont val="Times New Roman"/>
        <charset val="134"/>
      </rPr>
      <t>11.4.6</t>
    </r>
    <r>
      <rPr>
        <sz val="10"/>
        <rFont val="宋体"/>
        <charset val="134"/>
      </rPr>
      <t>，</t>
    </r>
    <r>
      <rPr>
        <sz val="10"/>
        <rFont val="Times New Roman"/>
        <charset val="134"/>
      </rPr>
      <t>11.4.6</t>
    </r>
    <r>
      <rPr>
        <sz val="10"/>
        <rFont val="宋体"/>
        <charset val="134"/>
      </rPr>
      <t>，</t>
    </r>
    <r>
      <rPr>
        <sz val="10"/>
        <rFont val="Times New Roman"/>
        <charset val="134"/>
      </rPr>
      <t>11.4.2</t>
    </r>
    <r>
      <rPr>
        <sz val="10"/>
        <rFont val="宋体"/>
        <charset val="134"/>
      </rPr>
      <t>，按市场价，按市场价</t>
    </r>
  </si>
  <si>
    <t>建筑材料（墙砖）</t>
  </si>
  <si>
    <t>送样量4kg；
使用面积大于200m2时，需对不同产品、不同批次进行复验</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</si>
  <si>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4.26.11</t>
    </r>
  </si>
  <si>
    <t>木板</t>
  </si>
  <si>
    <t>甲醛释放量（环境舱法）</t>
  </si>
  <si>
    <t>送样量1m2（500mm×500mm，2块）</t>
  </si>
  <si>
    <t>按市场价</t>
  </si>
  <si>
    <t>胶粘剂</t>
  </si>
  <si>
    <t>游离甲醛、VOC、苯、甲苯+二甲苯、甲苯二异氰酸酯、二氯甲烷、1,2-二氯乙烷、1,1,2-三氯乙烷、三氯乙烯</t>
  </si>
  <si>
    <r>
      <rPr>
        <sz val="9"/>
        <rFont val="宋体"/>
        <charset val="134"/>
      </rPr>
      <t>粤建检协【</t>
    </r>
    <r>
      <rPr>
        <sz val="9"/>
        <rFont val="Times New Roman"/>
        <charset val="134"/>
      </rPr>
      <t>2015</t>
    </r>
    <r>
      <rPr>
        <sz val="9"/>
        <rFont val="宋体"/>
        <charset val="134"/>
      </rPr>
      <t>】</t>
    </r>
    <r>
      <rPr>
        <sz val="9"/>
        <rFont val="Times New Roman"/>
        <charset val="134"/>
      </rPr>
      <t>8</t>
    </r>
    <r>
      <rPr>
        <sz val="9"/>
        <rFont val="宋体"/>
        <charset val="134"/>
      </rPr>
      <t>号文</t>
    </r>
    <r>
      <rPr>
        <sz val="9"/>
        <rFont val="Times New Roman"/>
        <charset val="134"/>
      </rPr>
      <t>11.4.7</t>
    </r>
    <r>
      <rPr>
        <sz val="9"/>
        <rFont val="宋体"/>
        <charset val="134"/>
      </rPr>
      <t>，</t>
    </r>
    <r>
      <rPr>
        <sz val="9"/>
        <rFont val="Times New Roman"/>
        <charset val="134"/>
      </rPr>
      <t>11.4.2</t>
    </r>
    <r>
      <rPr>
        <sz val="9"/>
        <rFont val="宋体"/>
        <charset val="134"/>
      </rPr>
      <t>，</t>
    </r>
    <r>
      <rPr>
        <sz val="9"/>
        <rFont val="Times New Roman"/>
        <charset val="134"/>
      </rPr>
      <t>11.4.3</t>
    </r>
    <r>
      <rPr>
        <sz val="9"/>
        <rFont val="宋体"/>
        <charset val="134"/>
      </rPr>
      <t>，</t>
    </r>
    <r>
      <rPr>
        <sz val="9"/>
        <rFont val="Times New Roman"/>
        <charset val="134"/>
      </rPr>
      <t>11.4.4</t>
    </r>
    <r>
      <rPr>
        <sz val="9"/>
        <rFont val="宋体"/>
        <charset val="134"/>
      </rPr>
      <t>，</t>
    </r>
    <r>
      <rPr>
        <sz val="9"/>
        <rFont val="Times New Roman"/>
        <charset val="134"/>
      </rPr>
      <t>11.4.5</t>
    </r>
    <r>
      <rPr>
        <sz val="9"/>
        <rFont val="宋体"/>
        <charset val="134"/>
      </rPr>
      <t>，</t>
    </r>
    <r>
      <rPr>
        <sz val="9"/>
        <rFont val="Times New Roman"/>
        <charset val="134"/>
      </rPr>
      <t>11.4.8</t>
    </r>
    <r>
      <rPr>
        <sz val="9"/>
        <rFont val="宋体"/>
        <charset val="134"/>
      </rPr>
      <t>，</t>
    </r>
    <r>
      <rPr>
        <sz val="9"/>
        <rFont val="Times New Roman"/>
        <charset val="134"/>
      </rPr>
      <t>11.4.8</t>
    </r>
    <r>
      <rPr>
        <sz val="9"/>
        <rFont val="宋体"/>
        <charset val="134"/>
      </rPr>
      <t>，</t>
    </r>
    <r>
      <rPr>
        <sz val="9"/>
        <rFont val="Times New Roman"/>
        <charset val="134"/>
      </rPr>
      <t>11.4.8</t>
    </r>
    <r>
      <rPr>
        <sz val="9"/>
        <rFont val="宋体"/>
        <charset val="134"/>
      </rPr>
      <t>，</t>
    </r>
    <r>
      <rPr>
        <sz val="9"/>
        <rFont val="Times New Roman"/>
        <charset val="134"/>
      </rPr>
      <t>11.4.8</t>
    </r>
  </si>
  <si>
    <t>生活饮用水</t>
  </si>
  <si>
    <t>浑浊度、色度、臭和味、肉眼可见物、游离氯、细菌总数、总大肠菌群、pH、铁</t>
  </si>
  <si>
    <r>
      <rPr>
        <sz val="10"/>
        <rFont val="宋体"/>
        <charset val="134"/>
      </rPr>
      <t>理化指标：不少于</t>
    </r>
    <r>
      <rPr>
        <sz val="10"/>
        <rFont val="Times New Roman"/>
        <charset val="134"/>
      </rPr>
      <t xml:space="preserve">1L
</t>
    </r>
    <r>
      <rPr>
        <sz val="10"/>
        <rFont val="宋体"/>
        <charset val="134"/>
      </rPr>
      <t>微生物指标：</t>
    </r>
    <r>
      <rPr>
        <sz val="10"/>
        <rFont val="Times New Roman"/>
        <charset val="134"/>
      </rPr>
      <t>0.5L</t>
    </r>
  </si>
  <si>
    <r>
      <rPr>
        <sz val="9"/>
        <rFont val="宋体"/>
        <charset val="134"/>
      </rPr>
      <t>粤建检协</t>
    </r>
    <r>
      <rPr>
        <sz val="9"/>
        <rFont val="Times New Roman"/>
        <charset val="134"/>
      </rPr>
      <t>[2015]8</t>
    </r>
    <r>
      <rPr>
        <sz val="9"/>
        <rFont val="宋体"/>
        <charset val="134"/>
      </rPr>
      <t>号文</t>
    </r>
    <r>
      <rPr>
        <sz val="9"/>
        <rFont val="Times New Roman"/>
        <charset val="134"/>
      </rPr>
      <t>6.14.2</t>
    </r>
    <r>
      <rPr>
        <sz val="9"/>
        <rFont val="宋体"/>
        <charset val="134"/>
      </rPr>
      <t>，</t>
    </r>
    <r>
      <rPr>
        <sz val="9"/>
        <rFont val="Times New Roman"/>
        <charset val="134"/>
      </rPr>
      <t>6.14.1</t>
    </r>
    <r>
      <rPr>
        <sz val="9"/>
        <rFont val="宋体"/>
        <charset val="134"/>
      </rPr>
      <t>，</t>
    </r>
    <r>
      <rPr>
        <sz val="9"/>
        <rFont val="Times New Roman"/>
        <charset val="134"/>
      </rPr>
      <t>6.14.3</t>
    </r>
    <r>
      <rPr>
        <sz val="9"/>
        <rFont val="宋体"/>
        <charset val="134"/>
      </rPr>
      <t>，</t>
    </r>
    <r>
      <rPr>
        <sz val="9"/>
        <rFont val="Times New Roman"/>
        <charset val="134"/>
      </rPr>
      <t>6.14.20</t>
    </r>
    <r>
      <rPr>
        <sz val="9"/>
        <rFont val="宋体"/>
        <charset val="134"/>
      </rPr>
      <t>，</t>
    </r>
    <r>
      <rPr>
        <sz val="9"/>
        <rFont val="Times New Roman"/>
        <charset val="134"/>
      </rPr>
      <t>6.14.7</t>
    </r>
    <r>
      <rPr>
        <sz val="9"/>
        <rFont val="宋体"/>
        <charset val="134"/>
      </rPr>
      <t>，</t>
    </r>
    <r>
      <rPr>
        <sz val="9"/>
        <rFont val="Times New Roman"/>
        <charset val="134"/>
      </rPr>
      <t>6.14.6</t>
    </r>
    <r>
      <rPr>
        <sz val="9"/>
        <rFont val="宋体"/>
        <charset val="134"/>
      </rPr>
      <t>，</t>
    </r>
    <r>
      <rPr>
        <sz val="9"/>
        <rFont val="Times New Roman"/>
        <charset val="134"/>
      </rPr>
      <t>6.14.5</t>
    </r>
    <r>
      <rPr>
        <sz val="9"/>
        <rFont val="宋体"/>
        <charset val="134"/>
      </rPr>
      <t>，</t>
    </r>
    <r>
      <rPr>
        <sz val="9"/>
        <rFont val="Times New Roman"/>
        <charset val="134"/>
      </rPr>
      <t>6.14.4</t>
    </r>
    <r>
      <rPr>
        <sz val="9"/>
        <rFont val="宋体"/>
        <charset val="134"/>
      </rPr>
      <t>，</t>
    </r>
    <r>
      <rPr>
        <sz val="9"/>
        <rFont val="Times New Roman"/>
        <charset val="134"/>
      </rPr>
      <t>6.14.9</t>
    </r>
  </si>
  <si>
    <t>回填材料</t>
  </si>
  <si>
    <t>击实试验</t>
  </si>
  <si>
    <t>每种回填材料抽检1组</t>
  </si>
  <si>
    <t>粤建检协[2015]8号文10.11.1</t>
  </si>
  <si>
    <t>井盖</t>
  </si>
  <si>
    <t>承载能力、残余变形、安全和便利性</t>
  </si>
  <si>
    <t>每种类型每100个抽检1组。</t>
  </si>
  <si>
    <t>粤建检协[2015]8号文10.16.1/2/5</t>
  </si>
  <si>
    <t>304及316不锈钢给水管道（饮用水级别）</t>
  </si>
  <si>
    <t>外观，壁厚，化学成分及机械性能</t>
  </si>
  <si>
    <t>抽检为5%~10%</t>
  </si>
  <si>
    <t>粤建检协[2015]8号文4.25.1,2,10、4.29.12,</t>
  </si>
  <si>
    <t>基础回填</t>
  </si>
  <si>
    <t>压实度检测</t>
  </si>
  <si>
    <t>1000㎡/3点</t>
  </si>
  <si>
    <t>点</t>
  </si>
  <si>
    <t>粤建检协[2015]8号文10.1.4</t>
  </si>
  <si>
    <t>南沙国际港航中心材料、实体及人防检测项目-主体结构检测清单计价表</t>
  </si>
  <si>
    <t>检验项目</t>
  </si>
  <si>
    <t>检测内容</t>
  </si>
  <si>
    <t>依据规范</t>
  </si>
  <si>
    <t>检测数量</t>
  </si>
  <si>
    <t>指导单价    (元/单位)</t>
  </si>
  <si>
    <t>标段一混凝土主结构实检测与装饰工程</t>
  </si>
  <si>
    <t>钻芯法检测混凝土强度</t>
  </si>
  <si>
    <t>每个单位工程，每三层、每种强度等级的墙柱、梁板至少各抽取一组进行混凝土强度检测；每组不少于三个芯样，其中墙梁交接部位至少抽取一个芯样。</t>
  </si>
  <si>
    <t>2019年版《广州市住房和城乡建设局关于加强混凝土结构工程施工质量管理工作的通知》，五、16条</t>
  </si>
  <si>
    <t>芯样</t>
  </si>
  <si>
    <t>氯离子含量检测</t>
  </si>
  <si>
    <t>同上</t>
  </si>
  <si>
    <t>混凝土强度回弹</t>
  </si>
  <si>
    <t>按批进行检测的构件，抽检数量不得少于同批构件总数的30%且构件数量不得少于10 件。</t>
  </si>
  <si>
    <t>《回弹法检测混凝土抗压强度技术规程》（JGJ/T23－2011）</t>
  </si>
  <si>
    <t>构件</t>
  </si>
  <si>
    <t>钢筋保护层厚度</t>
  </si>
  <si>
    <t>对非悬挑梁板类构件，应各抽取构件数量的2%且不少于5个构件；悬挑梁应抽取构件数量5%且不少于10个构件；悬挑板应抽取构件数量的10%，且不少于20个。</t>
  </si>
  <si>
    <t>《混凝土结构工程施工质量验收规范》GB50204-2015，附录E、附录F</t>
  </si>
  <si>
    <t>钢筋配置</t>
  </si>
  <si>
    <t>构件截面尺寸</t>
  </si>
  <si>
    <t>梁、柱应抽检构件数量的1%，且不应少于3构件；墙、板应按有代表性的自然间抽取1%，且不应少于3构件。</t>
  </si>
  <si>
    <t>植筋/化学锚栓
抗拔承载力</t>
  </si>
  <si>
    <t>现场破坏性检验应取每一检验批锚固件总数的0.1%且不少于5件进行检验；锚固件为植筋且总数不超过100件时，可取3件检验。现场非破坏性检验：对于非生命线工程的非结构构件，应取每一检验批锚栓总数的0.1%且不少于5件进行检验，应取每一检验批植筋总数的0.1%且不少于3件进行检验。</t>
  </si>
  <si>
    <t>《混凝土结构后锚固技术规程》JGJ 145-2013,附录C</t>
  </si>
  <si>
    <t>外墙饰面砖粘结强度检测</t>
  </si>
  <si>
    <t>每500m2一组，每三层不少于一组。</t>
  </si>
  <si>
    <t>《建筑工程饰面砖粘结强度检验标准》JGJ110-2017</t>
  </si>
  <si>
    <t>抹灰砂浆粘结强度</t>
  </si>
  <si>
    <t>相同砂浆品种、强度等级、施工工艺的外墙、顶棚抹灰工程，每5000平米应划分为一个检验批，每个检验批的应抽取一组进行试验，不足5000平米的也应抽取一组。</t>
  </si>
  <si>
    <t>《抹灰砂浆技术规程》JGJ/T220-2010</t>
  </si>
  <si>
    <t>标段二混凝土主结构实检测与装饰工程</t>
  </si>
  <si>
    <t>南沙国际港航中心材料、实体及人防检测项目-钢结构检测清单计价表</t>
  </si>
  <si>
    <t>检测项目</t>
  </si>
  <si>
    <t>参数</t>
  </si>
  <si>
    <t>工程量</t>
  </si>
  <si>
    <t>指导单价（元）</t>
  </si>
  <si>
    <t>钢板</t>
  </si>
  <si>
    <t>60T</t>
  </si>
  <si>
    <t>高强螺栓</t>
  </si>
  <si>
    <t>高强度螺栓连接副扭矩系数</t>
  </si>
  <si>
    <t>3000套/1组</t>
  </si>
  <si>
    <t>高强度螺栓(抗滑移系数)</t>
  </si>
  <si>
    <t>钢结构焊缝</t>
  </si>
  <si>
    <t>超声波检测</t>
  </si>
  <si>
    <t>米</t>
  </si>
  <si>
    <t xml:space="preserve">一级焊缝100%  二级焊缝20%  </t>
  </si>
  <si>
    <t>钢结构涂层</t>
  </si>
  <si>
    <t>防腐涂层厚度</t>
  </si>
  <si>
    <t>测区</t>
  </si>
  <si>
    <t>防火涂层厚度</t>
  </si>
  <si>
    <t>南沙国际港航中心材料、实体及人防检测项目-人防实体检测    清单计价表</t>
  </si>
  <si>
    <r>
      <rPr>
        <b/>
        <sz val="10"/>
        <rFont val="宋体"/>
        <charset val="134"/>
      </rPr>
      <t xml:space="preserve">指导单价                </t>
    </r>
    <r>
      <rPr>
        <b/>
        <sz val="10"/>
        <rFont val="Times New Roman"/>
        <charset val="134"/>
      </rPr>
      <t>(</t>
    </r>
    <r>
      <rPr>
        <b/>
        <sz val="10"/>
        <rFont val="宋体"/>
        <charset val="134"/>
      </rPr>
      <t>元</t>
    </r>
    <r>
      <rPr>
        <b/>
        <sz val="10"/>
        <rFont val="Times New Roman"/>
        <charset val="134"/>
      </rPr>
      <t>/</t>
    </r>
    <r>
      <rPr>
        <b/>
        <sz val="10"/>
        <rFont val="宋体"/>
        <charset val="134"/>
      </rPr>
      <t>单位</t>
    </r>
    <r>
      <rPr>
        <b/>
        <sz val="10"/>
        <rFont val="Times New Roman"/>
        <charset val="134"/>
      </rPr>
      <t>)</t>
    </r>
  </si>
  <si>
    <t>标段一人防实体
检测</t>
  </si>
  <si>
    <r>
      <rPr>
        <sz val="10"/>
        <rFont val="宋体"/>
        <charset val="134"/>
      </rPr>
      <t>钻芯法检测混凝土强度</t>
    </r>
  </si>
  <si>
    <r>
      <rPr>
        <sz val="10"/>
        <rFont val="宋体"/>
        <charset val="134"/>
      </rPr>
      <t>每个防护单元抽取不少于</t>
    </r>
    <r>
      <rPr>
        <sz val="10"/>
        <rFont val="Times New Roman"/>
        <charset val="134"/>
      </rPr>
      <t>3</t>
    </r>
    <r>
      <rPr>
        <sz val="10"/>
        <rFont val="宋体"/>
        <charset val="134"/>
      </rPr>
      <t>根柱子进行检测。每面墙抽取一个区域进行检测。每个防护单元抽取不少于3块板，每块板抽取不少于1个点进行检测。</t>
    </r>
  </si>
  <si>
    <t>防空地下室结构检测指引（穗民防建[2013]400号</t>
  </si>
  <si>
    <t>回弹法检测混凝土强度</t>
  </si>
  <si>
    <r>
      <rPr>
        <sz val="10"/>
        <rFont val="宋体"/>
        <charset val="134"/>
      </rPr>
      <t>每个防护单元抽取不少于</t>
    </r>
    <r>
      <rPr>
        <sz val="10"/>
        <rFont val="Times New Roman"/>
        <charset val="134"/>
      </rPr>
      <t>3</t>
    </r>
    <r>
      <rPr>
        <sz val="10"/>
        <rFont val="宋体"/>
        <charset val="134"/>
      </rPr>
      <t>根柱子进行检测。每面墙抽取一个区域进行检测。</t>
    </r>
  </si>
  <si>
    <r>
      <rPr>
        <sz val="10"/>
        <rFont val="宋体"/>
        <charset val="134"/>
      </rPr>
      <t>钢筋保护层厚度</t>
    </r>
  </si>
  <si>
    <t>每个防护单元抽检不少于5条梁进行检测。每面墙抽取一个区域。每个防护单元抽检数量不少于5块板进行检测。</t>
  </si>
  <si>
    <r>
      <rPr>
        <sz val="10"/>
        <rFont val="宋体"/>
        <charset val="134"/>
      </rPr>
      <t>1、《混凝土结构工程施工质量验收规范》</t>
    </r>
    <r>
      <rPr>
        <sz val="10"/>
        <rFont val="Times New Roman"/>
        <charset val="134"/>
      </rPr>
      <t>B50204-2015</t>
    </r>
    <r>
      <rPr>
        <sz val="10"/>
        <rFont val="宋体"/>
        <charset val="134"/>
      </rPr>
      <t>，附录E、附录F
2、防空地下室结构检测指引（穗民防建[2013]400号</t>
    </r>
  </si>
  <si>
    <r>
      <rPr>
        <sz val="10"/>
        <rFont val="宋体"/>
        <charset val="134"/>
      </rPr>
      <t>构件</t>
    </r>
  </si>
  <si>
    <r>
      <rPr>
        <sz val="10"/>
        <rFont val="宋体"/>
        <charset val="134"/>
      </rPr>
      <t>钢筋配置</t>
    </r>
  </si>
  <si>
    <r>
      <rPr>
        <sz val="10"/>
        <rFont val="宋体"/>
        <charset val="134"/>
      </rPr>
      <t>构件截面尺寸</t>
    </r>
  </si>
  <si>
    <t>每个防护单元抽检不少于3条梁进行检测。每个防护单元抽检不少于3根柱进行检测。每面墙抽取一个区域。结合混凝土强度检测中顶板的抽检频率进行检测。</t>
  </si>
  <si>
    <t>标段二人防实体
检测</t>
  </si>
  <si>
    <t>南沙国际港航中心材料、实体及人防检测项目-人防工程防护设备安装质量检测    清单计价表</t>
  </si>
  <si>
    <r>
      <rPr>
        <sz val="10"/>
        <rFont val="宋体"/>
        <charset val="134"/>
      </rPr>
      <t>序号</t>
    </r>
  </si>
  <si>
    <r>
      <rPr>
        <sz val="10"/>
        <rFont val="宋体"/>
        <charset val="134"/>
      </rPr>
      <t>类别</t>
    </r>
  </si>
  <si>
    <r>
      <rPr>
        <sz val="10"/>
        <rFont val="宋体"/>
        <charset val="134"/>
      </rPr>
      <t>检测名称</t>
    </r>
  </si>
  <si>
    <r>
      <rPr>
        <sz val="10"/>
        <rFont val="宋体"/>
        <charset val="134"/>
      </rPr>
      <t>取样批量规定</t>
    </r>
  </si>
  <si>
    <r>
      <rPr>
        <sz val="10"/>
        <rFont val="宋体"/>
        <charset val="134"/>
      </rPr>
      <t>检测项目</t>
    </r>
  </si>
  <si>
    <r>
      <rPr>
        <sz val="10"/>
        <rFont val="宋体"/>
        <charset val="134"/>
      </rPr>
      <t>检测为依据</t>
    </r>
  </si>
  <si>
    <r>
      <rPr>
        <sz val="10"/>
        <rFont val="宋体"/>
        <charset val="134"/>
      </rPr>
      <t>单位</t>
    </r>
  </si>
  <si>
    <r>
      <rPr>
        <sz val="10"/>
        <rFont val="宋体"/>
        <charset val="134"/>
      </rPr>
      <t>收费标准</t>
    </r>
  </si>
  <si>
    <r>
      <rPr>
        <sz val="10"/>
        <rFont val="宋体"/>
        <charset val="134"/>
      </rPr>
      <t>备注</t>
    </r>
  </si>
  <si>
    <r>
      <rPr>
        <sz val="10"/>
        <rFont val="宋体"/>
        <charset val="134"/>
      </rPr>
      <t>手动钢结构防护、防护密闭门、密闭门</t>
    </r>
  </si>
  <si>
    <r>
      <rPr>
        <sz val="10"/>
        <rFont val="宋体"/>
        <charset val="134"/>
      </rPr>
      <t>设备型号</t>
    </r>
  </si>
  <si>
    <r>
      <rPr>
        <sz val="10"/>
        <rFont val="宋体"/>
        <charset val="134"/>
      </rPr>
      <t>穗人防办</t>
    </r>
    <r>
      <rPr>
        <sz val="10"/>
        <rFont val="Times New Roman"/>
        <charset val="134"/>
      </rPr>
      <t>[2023]1</t>
    </r>
    <r>
      <rPr>
        <sz val="10"/>
        <rFont val="宋体"/>
        <charset val="134"/>
      </rPr>
      <t>号第七条第三小点要求，对防护设备的安装质量进行逐樘检测评定</t>
    </r>
  </si>
  <si>
    <r>
      <rPr>
        <sz val="10"/>
        <rFont val="宋体"/>
        <charset val="134"/>
      </rPr>
      <t>主控项目</t>
    </r>
  </si>
  <si>
    <r>
      <rPr>
        <sz val="10"/>
        <rFont val="Times New Roman"/>
        <charset val="134"/>
      </rPr>
      <t>RFJ003-2021</t>
    </r>
    <r>
      <rPr>
        <sz val="10"/>
        <rFont val="宋体"/>
        <charset val="134"/>
      </rPr>
      <t>人民防空工程防护设备产品与安装质量检测标准（暂行）</t>
    </r>
  </si>
  <si>
    <r>
      <rPr>
        <sz val="10"/>
        <rFont val="宋体"/>
        <charset val="134"/>
      </rPr>
      <t>项</t>
    </r>
  </si>
  <si>
    <r>
      <rPr>
        <sz val="10"/>
        <rFont val="宋体"/>
        <charset val="134"/>
      </rPr>
      <t>开启方向</t>
    </r>
  </si>
  <si>
    <r>
      <rPr>
        <sz val="10"/>
        <rFont val="宋体"/>
        <charset val="134"/>
      </rPr>
      <t>门扇厚度偏差</t>
    </r>
  </si>
  <si>
    <r>
      <rPr>
        <sz val="10"/>
        <rFont val="宋体"/>
        <charset val="134"/>
      </rPr>
      <t>面板厚度偏差</t>
    </r>
  </si>
  <si>
    <r>
      <rPr>
        <sz val="10"/>
        <rFont val="宋体"/>
        <charset val="134"/>
      </rPr>
      <t>热轧钢板和钢带的尺寸、外形、重量及允许偏差</t>
    </r>
    <r>
      <rPr>
        <sz val="10"/>
        <rFont val="Times New Roman"/>
        <charset val="134"/>
      </rPr>
      <t xml:space="preserve"> GB/T 709-2006</t>
    </r>
  </si>
  <si>
    <r>
      <rPr>
        <sz val="10"/>
        <rFont val="宋体"/>
        <charset val="134"/>
      </rPr>
      <t>樘</t>
    </r>
  </si>
  <si>
    <r>
      <rPr>
        <sz val="10"/>
        <rFont val="宋体"/>
        <charset val="134"/>
      </rPr>
      <t>结构焊缝质量</t>
    </r>
  </si>
  <si>
    <r>
      <rPr>
        <sz val="10"/>
        <rFont val="Times New Roman"/>
        <charset val="134"/>
      </rPr>
      <t xml:space="preserve">GB50205-2020 </t>
    </r>
    <r>
      <rPr>
        <sz val="10"/>
        <rFont val="宋体"/>
        <charset val="134"/>
      </rPr>
      <t>钢结构工程施工质量验收标准</t>
    </r>
  </si>
  <si>
    <r>
      <rPr>
        <sz val="10"/>
        <rFont val="宋体"/>
        <charset val="134"/>
      </rPr>
      <t>漏气孔缝</t>
    </r>
  </si>
  <si>
    <r>
      <rPr>
        <sz val="10"/>
        <rFont val="宋体"/>
        <charset val="134"/>
      </rPr>
      <t>密封件质量</t>
    </r>
  </si>
  <si>
    <r>
      <rPr>
        <sz val="10"/>
        <rFont val="宋体"/>
        <charset val="134"/>
      </rPr>
      <t>门扇、门框贴合面间隙</t>
    </r>
  </si>
  <si>
    <r>
      <rPr>
        <sz val="10"/>
        <rFont val="宋体"/>
        <charset val="134"/>
      </rPr>
      <t>密封胶条嵌压中心线偏差</t>
    </r>
  </si>
  <si>
    <r>
      <rPr>
        <sz val="10"/>
        <rFont val="宋体"/>
        <charset val="134"/>
      </rPr>
      <t>一般项目</t>
    </r>
  </si>
  <si>
    <r>
      <rPr>
        <sz val="10"/>
        <rFont val="宋体"/>
        <charset val="134"/>
      </rPr>
      <t>门框左右角钢垂直度</t>
    </r>
    <r>
      <rPr>
        <sz val="10"/>
        <rFont val="Times New Roman"/>
        <charset val="134"/>
      </rPr>
      <t>(</t>
    </r>
    <r>
      <rPr>
        <sz val="10"/>
        <rFont val="宋体"/>
        <charset val="134"/>
      </rPr>
      <t>前后</t>
    </r>
    <r>
      <rPr>
        <sz val="10"/>
        <rFont val="Times New Roman"/>
        <charset val="134"/>
      </rPr>
      <t>)</t>
    </r>
  </si>
  <si>
    <r>
      <rPr>
        <sz val="10"/>
        <rFont val="宋体"/>
        <charset val="134"/>
      </rPr>
      <t>门框左右角钢垂直度</t>
    </r>
    <r>
      <rPr>
        <sz val="10"/>
        <rFont val="Times New Roman"/>
        <charset val="134"/>
      </rPr>
      <t>(</t>
    </r>
    <r>
      <rPr>
        <sz val="10"/>
        <rFont val="宋体"/>
        <charset val="134"/>
      </rPr>
      <t>左右</t>
    </r>
    <r>
      <rPr>
        <sz val="10"/>
        <rFont val="Times New Roman"/>
        <charset val="134"/>
      </rPr>
      <t>)</t>
    </r>
  </si>
  <si>
    <r>
      <rPr>
        <sz val="10"/>
        <rFont val="宋体"/>
        <charset val="134"/>
      </rPr>
      <t>门扇启闭力</t>
    </r>
  </si>
  <si>
    <r>
      <rPr>
        <sz val="10"/>
        <rFont val="宋体"/>
        <charset val="134"/>
      </rPr>
      <t>关锁操纵力</t>
    </r>
  </si>
  <si>
    <r>
      <rPr>
        <sz val="10"/>
        <rFont val="宋体"/>
        <charset val="134"/>
      </rPr>
      <t>闭锁头同步、锁紧情况</t>
    </r>
  </si>
  <si>
    <r>
      <rPr>
        <sz val="10"/>
        <rFont val="宋体"/>
        <charset val="134"/>
      </rPr>
      <t>启闭运转性能</t>
    </r>
  </si>
  <si>
    <r>
      <rPr>
        <sz val="10"/>
        <rFont val="宋体"/>
        <charset val="134"/>
      </rPr>
      <t>表面观感</t>
    </r>
  </si>
  <si>
    <r>
      <rPr>
        <sz val="10"/>
        <rFont val="宋体"/>
        <charset val="134"/>
      </rPr>
      <t>漆膜厚度</t>
    </r>
  </si>
  <si>
    <r>
      <rPr>
        <sz val="10"/>
        <rFont val="宋体"/>
        <charset val="134"/>
      </rPr>
      <t>漆膜附着力</t>
    </r>
  </si>
  <si>
    <r>
      <rPr>
        <sz val="10"/>
        <rFont val="宋体"/>
        <charset val="134"/>
      </rPr>
      <t>运动部位保护</t>
    </r>
  </si>
  <si>
    <r>
      <rPr>
        <sz val="10"/>
        <rFont val="宋体"/>
        <charset val="134"/>
      </rPr>
      <t>铭牌、开关标志等标识</t>
    </r>
  </si>
  <si>
    <r>
      <rPr>
        <sz val="10"/>
        <rFont val="宋体"/>
        <charset val="134"/>
      </rPr>
      <t>钢筋混凝土防护门、防护密闭门、密闭门</t>
    </r>
  </si>
  <si>
    <r>
      <rPr>
        <sz val="10"/>
        <rFont val="宋体"/>
        <charset val="134"/>
      </rPr>
      <t>门扇、门框贴合面中心线偏差</t>
    </r>
  </si>
  <si>
    <r>
      <rPr>
        <sz val="10"/>
        <rFont val="宋体"/>
        <charset val="134"/>
      </rPr>
      <t>门框左右角钢垂直度</t>
    </r>
    <r>
      <rPr>
        <sz val="10"/>
        <rFont val="Times New Roman"/>
        <charset val="134"/>
      </rPr>
      <t>(</t>
    </r>
    <r>
      <rPr>
        <sz val="10"/>
        <rFont val="宋体"/>
        <charset val="134"/>
      </rPr>
      <t>前后</t>
    </r>
    <r>
      <rPr>
        <sz val="10"/>
        <rFont val="Times New Roman"/>
        <charset val="134"/>
      </rPr>
      <t xml:space="preserve"> )</t>
    </r>
  </si>
  <si>
    <r>
      <rPr>
        <sz val="10"/>
        <rFont val="宋体"/>
        <charset val="134"/>
      </rPr>
      <t>门框左右角钢垂直度</t>
    </r>
    <r>
      <rPr>
        <sz val="10"/>
        <rFont val="Times New Roman"/>
        <charset val="134"/>
      </rPr>
      <t>(</t>
    </r>
    <r>
      <rPr>
        <sz val="10"/>
        <rFont val="宋体"/>
        <charset val="134"/>
      </rPr>
      <t>左右</t>
    </r>
    <r>
      <rPr>
        <sz val="10"/>
        <rFont val="Times New Roman"/>
        <charset val="134"/>
      </rPr>
      <t xml:space="preserve"> )</t>
    </r>
  </si>
  <si>
    <r>
      <rPr>
        <sz val="10"/>
        <rFont val="宋体"/>
        <charset val="134"/>
      </rPr>
      <t>悬摆式防爆波活门</t>
    </r>
  </si>
  <si>
    <r>
      <rPr>
        <sz val="10"/>
        <rFont val="宋体"/>
        <charset val="134"/>
      </rPr>
      <t>门扇</t>
    </r>
    <r>
      <rPr>
        <sz val="10"/>
        <rFont val="Times New Roman"/>
        <charset val="134"/>
      </rPr>
      <t>(</t>
    </r>
    <r>
      <rPr>
        <sz val="10"/>
        <rFont val="宋体"/>
        <charset val="134"/>
      </rPr>
      <t>或底座</t>
    </r>
    <r>
      <rPr>
        <sz val="10"/>
        <rFont val="Times New Roman"/>
        <charset val="134"/>
      </rPr>
      <t>)</t>
    </r>
    <r>
      <rPr>
        <sz val="10"/>
        <rFont val="宋体"/>
        <charset val="134"/>
      </rPr>
      <t>的厚度偏差</t>
    </r>
  </si>
  <si>
    <r>
      <rPr>
        <sz val="10"/>
        <rFont val="宋体"/>
        <charset val="134"/>
      </rPr>
      <t>焊缝质量要求</t>
    </r>
  </si>
  <si>
    <r>
      <rPr>
        <sz val="10"/>
        <rFont val="宋体"/>
        <charset val="134"/>
      </rPr>
      <t>通风量要求</t>
    </r>
  </si>
  <si>
    <r>
      <rPr>
        <sz val="10"/>
        <rFont val="宋体"/>
        <charset val="134"/>
      </rPr>
      <t>悬摆板启闭力</t>
    </r>
  </si>
  <si>
    <r>
      <rPr>
        <sz val="10"/>
        <rFont val="宋体"/>
        <charset val="134"/>
      </rPr>
      <t>穗人防办</t>
    </r>
    <r>
      <rPr>
        <sz val="10"/>
        <rFont val="Times New Roman"/>
        <charset val="134"/>
      </rPr>
      <t>[2023]6</t>
    </r>
    <r>
      <rPr>
        <sz val="10"/>
        <rFont val="宋体"/>
        <charset val="134"/>
      </rPr>
      <t>号第七条第三小点要求，对防护设备的安装质量进行逐樘检测评定</t>
    </r>
  </si>
  <si>
    <r>
      <rPr>
        <sz val="10"/>
        <rFont val="宋体"/>
        <charset val="134"/>
      </rPr>
      <t>门扇关闭力</t>
    </r>
  </si>
  <si>
    <r>
      <rPr>
        <sz val="10"/>
        <rFont val="宋体"/>
        <charset val="134"/>
      </rPr>
      <t>闭锁锁紧力</t>
    </r>
  </si>
  <si>
    <r>
      <rPr>
        <sz val="10"/>
        <rFont val="宋体"/>
        <charset val="134"/>
      </rPr>
      <t>密闭阀门</t>
    </r>
  </si>
  <si>
    <r>
      <rPr>
        <sz val="10"/>
        <rFont val="宋体"/>
        <charset val="134"/>
      </rPr>
      <t>管壁厚度</t>
    </r>
  </si>
  <si>
    <r>
      <rPr>
        <sz val="10"/>
        <rFont val="宋体"/>
        <charset val="134"/>
      </rPr>
      <t>密闭性能</t>
    </r>
  </si>
  <si>
    <r>
      <rPr>
        <sz val="10"/>
        <rFont val="宋体"/>
        <charset val="134"/>
      </rPr>
      <t>通风量</t>
    </r>
  </si>
  <si>
    <r>
      <rPr>
        <sz val="10"/>
        <rFont val="宋体"/>
        <charset val="134"/>
      </rPr>
      <t>阀门固定情况</t>
    </r>
  </si>
  <si>
    <r>
      <rPr>
        <sz val="10"/>
        <rFont val="宋体"/>
        <charset val="134"/>
      </rPr>
      <t>法兰螺栓连接情况</t>
    </r>
  </si>
  <si>
    <r>
      <rPr>
        <sz val="10"/>
        <rFont val="宋体"/>
        <charset val="134"/>
      </rPr>
      <t>阀板启闭力</t>
    </r>
  </si>
  <si>
    <r>
      <rPr>
        <sz val="10"/>
        <rFont val="宋体"/>
        <charset val="134"/>
      </rPr>
      <t>启闭运转性能要求</t>
    </r>
  </si>
  <si>
    <r>
      <rPr>
        <sz val="10"/>
        <rFont val="宋体"/>
        <charset val="134"/>
      </rPr>
      <t>防爆地漏</t>
    </r>
  </si>
  <si>
    <r>
      <rPr>
        <sz val="10"/>
        <rFont val="宋体"/>
        <charset val="134"/>
      </rPr>
      <t>地漏接口及管径偏差</t>
    </r>
  </si>
  <si>
    <r>
      <rPr>
        <sz val="10"/>
        <rFont val="宋体"/>
        <charset val="134"/>
      </rPr>
      <t>个</t>
    </r>
  </si>
  <si>
    <r>
      <rPr>
        <sz val="10"/>
        <rFont val="宋体"/>
        <charset val="134"/>
      </rPr>
      <t>地漏盖旋转灵活无卡阻</t>
    </r>
  </si>
  <si>
    <t>防爆超压排气活门</t>
  </si>
  <si>
    <r>
      <rPr>
        <sz val="10"/>
        <rFont val="宋体"/>
        <charset val="134"/>
      </rPr>
      <t>阀盖</t>
    </r>
    <r>
      <rPr>
        <sz val="10"/>
        <color indexed="8"/>
        <rFont val="Times New Roman"/>
        <charset val="134"/>
      </rPr>
      <t>/</t>
    </r>
    <r>
      <rPr>
        <sz val="10"/>
        <color indexed="8"/>
        <rFont val="宋体"/>
        <charset val="134"/>
      </rPr>
      <t>活门盘厚度</t>
    </r>
  </si>
  <si>
    <r>
      <rPr>
        <sz val="10"/>
        <rFont val="宋体"/>
        <charset val="134"/>
      </rPr>
      <t>平衡锤连杆垂直度</t>
    </r>
  </si>
  <si>
    <r>
      <rPr>
        <sz val="10"/>
        <rFont val="宋体"/>
        <charset val="134"/>
      </rPr>
      <t>法兰连接</t>
    </r>
  </si>
  <si>
    <r>
      <rPr>
        <sz val="10"/>
        <rFont val="宋体"/>
        <charset val="134"/>
      </rPr>
      <t>阀盖</t>
    </r>
    <r>
      <rPr>
        <sz val="10"/>
        <color indexed="8"/>
        <rFont val="Times New Roman"/>
        <charset val="134"/>
      </rPr>
      <t>/</t>
    </r>
    <r>
      <rPr>
        <sz val="10"/>
        <color indexed="8"/>
        <rFont val="宋体"/>
        <charset val="134"/>
      </rPr>
      <t>活门盘与壳体锁闭</t>
    </r>
  </si>
  <si>
    <r>
      <rPr>
        <sz val="10"/>
        <rFont val="宋体"/>
        <charset val="134"/>
      </rPr>
      <t>阀盖</t>
    </r>
    <r>
      <rPr>
        <sz val="10"/>
        <color indexed="8"/>
        <rFont val="Times New Roman"/>
        <charset val="134"/>
      </rPr>
      <t>/</t>
    </r>
    <r>
      <rPr>
        <sz val="10"/>
        <color indexed="8"/>
        <rFont val="宋体"/>
        <charset val="134"/>
      </rPr>
      <t>活门盘锁紧力</t>
    </r>
  </si>
  <si>
    <r>
      <rPr>
        <sz val="10"/>
        <rFont val="宋体"/>
        <charset val="134"/>
      </rPr>
      <t>密闭观察窗</t>
    </r>
  </si>
  <si>
    <r>
      <rPr>
        <sz val="10"/>
        <rFont val="宋体"/>
        <charset val="134"/>
      </rPr>
      <t>密闭观察窗厚度</t>
    </r>
  </si>
  <si>
    <r>
      <rPr>
        <sz val="10"/>
        <rFont val="宋体"/>
        <charset val="134"/>
      </rPr>
      <t>螺栓与孔配合情况</t>
    </r>
  </si>
  <si>
    <r>
      <rPr>
        <sz val="10"/>
        <rFont val="宋体"/>
        <charset val="134"/>
      </rPr>
      <t>通风管道</t>
    </r>
  </si>
  <si>
    <r>
      <rPr>
        <sz val="10"/>
        <rFont val="宋体"/>
        <charset val="134"/>
      </rPr>
      <t>明确焊接外观质量</t>
    </r>
  </si>
  <si>
    <r>
      <rPr>
        <sz val="10"/>
        <rFont val="宋体"/>
        <charset val="134"/>
      </rPr>
      <t>穗人防办</t>
    </r>
    <r>
      <rPr>
        <sz val="10"/>
        <rFont val="Times New Roman"/>
        <charset val="134"/>
      </rPr>
      <t>{2023}1</t>
    </r>
    <r>
      <rPr>
        <sz val="10"/>
        <rFont val="宋体"/>
        <charset val="134"/>
      </rPr>
      <t>号附件</t>
    </r>
    <r>
      <rPr>
        <sz val="10"/>
        <rFont val="Times New Roman"/>
        <charset val="134"/>
      </rPr>
      <t>2</t>
    </r>
    <r>
      <rPr>
        <sz val="10"/>
        <rFont val="宋体"/>
        <charset val="134"/>
      </rPr>
      <t>：有则需检</t>
    </r>
  </si>
  <si>
    <r>
      <rPr>
        <sz val="10"/>
        <rFont val="宋体"/>
        <charset val="134"/>
      </rPr>
      <t>外观检测</t>
    </r>
  </si>
  <si>
    <r>
      <rPr>
        <sz val="10"/>
        <rFont val="宋体"/>
        <charset val="134"/>
      </rPr>
      <t>明确涂装外观质量及焊接形式</t>
    </r>
  </si>
  <si>
    <r>
      <rPr>
        <sz val="10"/>
        <rFont val="宋体"/>
        <charset val="134"/>
      </rPr>
      <t>明确管道与设备连接情况</t>
    </r>
  </si>
  <si>
    <r>
      <rPr>
        <sz val="10"/>
        <rFont val="宋体"/>
        <charset val="134"/>
      </rPr>
      <t>安装检测</t>
    </r>
  </si>
  <si>
    <r>
      <rPr>
        <sz val="10"/>
        <rFont val="宋体"/>
        <charset val="134"/>
      </rPr>
      <t>检查风管安装构件是否符合标准或图纸要求</t>
    </r>
  </si>
  <si>
    <r>
      <rPr>
        <sz val="10"/>
        <rFont val="宋体"/>
        <charset val="134"/>
      </rPr>
      <t>钢结构工程施工质量验收标准</t>
    </r>
    <r>
      <rPr>
        <sz val="10"/>
        <rFont val="Times New Roman"/>
        <charset val="134"/>
      </rPr>
      <t>GB50205-2020</t>
    </r>
  </si>
  <si>
    <r>
      <rPr>
        <sz val="10"/>
        <rFont val="宋体"/>
        <charset val="134"/>
      </rPr>
      <t>管道管壁厚度</t>
    </r>
  </si>
  <si>
    <r>
      <rPr>
        <sz val="10"/>
        <rFont val="宋体"/>
        <charset val="134"/>
      </rPr>
      <t>金属风管钢板厚度</t>
    </r>
  </si>
  <si>
    <t>南沙国际港航中心材料、实体及人防检测项目-市政检测检测清单计价表</t>
  </si>
  <si>
    <t>类别</t>
  </si>
  <si>
    <t>给排水工程</t>
  </si>
  <si>
    <t>承载力</t>
  </si>
  <si>
    <t>轻型动力触探</t>
  </si>
  <si>
    <t>每200m2不应少于1孔，且不少于10孔；每个独立基础不少于1孔；基槽每20延米1孔，每孔预计2.1m</t>
  </si>
  <si>
    <t>m</t>
  </si>
  <si>
    <t>粤建检协[2015]8号1.18.3</t>
  </si>
  <si>
    <t>压实度</t>
  </si>
  <si>
    <t>1000m2/层/部位/3点</t>
  </si>
  <si>
    <t>粤建检协[2015]8号10.1.4</t>
  </si>
  <si>
    <t>CCTV</t>
  </si>
  <si>
    <t>300管以上全检</t>
  </si>
  <si>
    <t>粤建检协[2015]8号10.7.2</t>
  </si>
  <si>
    <t>闭水</t>
  </si>
  <si>
    <t>700管以上抽检1/3，其他全检</t>
  </si>
  <si>
    <t>粤建检协[2015]8号8.2.16</t>
  </si>
  <si>
    <t>水压试验</t>
  </si>
  <si>
    <t>全检</t>
  </si>
  <si>
    <t>粤建检协[2015]8号8.2.19</t>
  </si>
  <si>
    <t>排水管</t>
  </si>
  <si>
    <t>外压荷载、尺寸、外观</t>
  </si>
  <si>
    <t>每个规格至少1组</t>
  </si>
  <si>
    <t>粤建检协[2015]8号4.44.1,2,8</t>
  </si>
  <si>
    <t>预制井</t>
  </si>
  <si>
    <t>回弹</t>
  </si>
  <si>
    <t>30%构件数，不少于10个构件</t>
  </si>
  <si>
    <t>粤建检协[2015]8号10.3.18</t>
  </si>
  <si>
    <t>混凝土保护层厚度检测</t>
  </si>
  <si>
    <t>2%构件数，不少于5个构件</t>
  </si>
  <si>
    <t>粤建检协[2015]8号10.3.11</t>
  </si>
  <si>
    <t>道路工程</t>
  </si>
  <si>
    <t>路基</t>
  </si>
  <si>
    <t>基层</t>
  </si>
  <si>
    <t>1000m2/层/部位/1点</t>
  </si>
  <si>
    <t>沥青面层</t>
  </si>
  <si>
    <t>厚度</t>
  </si>
  <si>
    <t>粤建检协[2015]8号10.1.6</t>
  </si>
  <si>
    <t>土、稳定材料</t>
  </si>
  <si>
    <t>每种材料不少于1组</t>
  </si>
  <si>
    <t>粤建检协[2015]8号10.11.1</t>
  </si>
  <si>
    <t>改性沥青</t>
  </si>
  <si>
    <t>针入度、软化点、5℃低温延度</t>
  </si>
  <si>
    <t>每批次每种规格送检1组</t>
  </si>
  <si>
    <t>粤建检协[2015]8号10.9.2、10.9.3、10.9.4</t>
  </si>
  <si>
    <t>粗集料</t>
  </si>
  <si>
    <t>颗粒级配、表观密度、洛杉矶磨耗损失、压碎值、坚固性、针片状含量、水洗法＜0.075 mm颗粒含量、黏附性、吸水率、软石含量</t>
  </si>
  <si>
    <t>粤建检协[2015]8号4.5.1、4.5.2、4.5.17、4.5.12、4.5.10、4.5.11、4.5.、4.5.7、4.5.9</t>
  </si>
  <si>
    <t>细集料</t>
  </si>
  <si>
    <t>颗粒级配、表观密度、含水率、含泥量、泥块含量、砂当量</t>
  </si>
  <si>
    <t>粤建检协[2015]8号4.4.1,2,6,8,9,21</t>
  </si>
  <si>
    <t>矿粉</t>
  </si>
  <si>
    <t>筛分、表观密度、亲水系数、塑性指数、含水量</t>
  </si>
  <si>
    <t>每100T和每料源检验1次</t>
  </si>
  <si>
    <t>粤建检协[2015]8号10.8.1、10.8.2、10.8.3、10.8.4、10.8.6</t>
  </si>
  <si>
    <t>沥青混合物</t>
  </si>
  <si>
    <t>马歇尔稳定度、密度、沥青含量、矿料级配</t>
  </si>
  <si>
    <t>同一台拌机生产的沥青混合料2000t或每天一次，以频率密者为准。</t>
  </si>
  <si>
    <t>粤建检协[2015]8号10.10.3、10.10.4</t>
  </si>
  <si>
    <t>配合比设计AC-13C</t>
  </si>
  <si>
    <t>每种规格送检1组</t>
  </si>
  <si>
    <t>粤建检协[2015]8号10.10.1</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</si>
</sst>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0.00\)"/>
    <numFmt numFmtId="179" formatCode="0_ "/>
    <numFmt numFmtId="180" formatCode="000000"/>
    <numFmt numFmtId="181" formatCode="0_);[Red]\(0\)"/>
    <numFmt numFmtId="182" formatCode="0_);\(0\)"/>
  </numFmts>
  <fonts count="46">
    <font>
      <sz val="11"/>
      <name val="宋体"/>
      <charset val="134"/>
    </font>
    <font>
      <sz val="11"/>
      <color rgb="FF000000"/>
      <name val="宋体"/>
      <charset val="134"/>
    </font>
    <font>
      <b/>
      <sz val="16"/>
      <color rgb="FF000000"/>
      <name val="宋体"/>
      <charset val="134"/>
    </font>
    <font>
      <b/>
      <sz val="10"/>
      <name val="宋体"/>
      <charset val="134"/>
    </font>
    <font>
      <sz val="10"/>
      <color rgb="FF000000"/>
      <name val="宋体"/>
      <charset val="134"/>
    </font>
    <font>
      <sz val="10"/>
      <name val="宋体"/>
      <charset val="134"/>
    </font>
    <font>
      <sz val="9"/>
      <name val="宋体"/>
      <charset val="134"/>
    </font>
    <font>
      <b/>
      <sz val="11"/>
      <name val="宋体"/>
      <charset val="134"/>
    </font>
    <font>
      <b/>
      <sz val="11"/>
      <color rgb="FF000000"/>
      <name val="宋体"/>
      <charset val="134"/>
    </font>
    <font>
      <sz val="10"/>
      <name val="Times New Roman"/>
      <charset val="134"/>
    </font>
    <font>
      <b/>
      <sz val="16"/>
      <name val="宋体"/>
      <charset val="134"/>
    </font>
    <font>
      <sz val="10"/>
      <color rgb="FF000000"/>
      <name val="Times New Roman"/>
      <charset val="134"/>
    </font>
    <font>
      <b/>
      <sz val="10"/>
      <name val="Times New Roman"/>
      <charset val="134"/>
    </font>
    <font>
      <b/>
      <sz val="10"/>
      <color rgb="FF000000"/>
      <name val="宋体"/>
      <charset val="134"/>
    </font>
    <font>
      <b/>
      <u/>
      <sz val="18"/>
      <name val="宋体"/>
      <charset val="134"/>
    </font>
    <font>
      <sz val="10"/>
      <color indexed="8"/>
      <name val="宋体"/>
      <charset val="134"/>
    </font>
    <font>
      <b/>
      <sz val="14"/>
      <name val="宋体"/>
      <charset val="134"/>
    </font>
    <font>
      <b/>
      <sz val="16"/>
      <name val="Times New Roman"/>
      <charset val="134"/>
    </font>
    <font>
      <b/>
      <sz val="22"/>
      <color rgb="FF000000"/>
      <name val="宋体"/>
      <charset val="134"/>
    </font>
    <font>
      <sz val="12"/>
      <color rgb="FF000000"/>
      <name val="宋体"/>
      <charset val="134"/>
    </font>
    <font>
      <b/>
      <sz val="12"/>
      <color theme="1"/>
      <name val="宋体"/>
      <charset val="134"/>
      <scheme val="minor"/>
    </font>
    <font>
      <sz val="12"/>
      <name val="宋体"/>
      <charset val="134"/>
    </font>
    <font>
      <b/>
      <sz val="12"/>
      <color rgb="FF000000"/>
      <name val="宋体"/>
      <charset val="134"/>
    </font>
    <font>
      <sz val="11"/>
      <color rgb="FF000000"/>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9"/>
      <color rgb="FF000000"/>
      <name val="宋体"/>
      <charset val="134"/>
    </font>
    <font>
      <sz val="10"/>
      <color indexed="8"/>
      <name val="Times New Roman"/>
      <charset val="134"/>
    </font>
    <font>
      <sz val="9"/>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6" tint="0.79995"/>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5"/>
        <bgColor indexed="64"/>
      </patternFill>
    </fill>
    <fill>
      <patternFill patternType="solid">
        <fgColor rgb="FFFFFFCC"/>
        <bgColor indexed="64"/>
      </patternFill>
    </fill>
    <fill>
      <patternFill patternType="solid">
        <fgColor theme="5" tint="0.39995"/>
        <bgColor indexed="64"/>
      </patternFill>
    </fill>
    <fill>
      <patternFill patternType="solid">
        <fgColor theme="4" tint="0.39995"/>
        <bgColor indexed="64"/>
      </patternFill>
    </fill>
    <fill>
      <patternFill patternType="solid">
        <fgColor theme="7" tint="0.39995"/>
        <bgColor indexed="64"/>
      </patternFill>
    </fill>
    <fill>
      <patternFill patternType="solid">
        <fgColor rgb="FFF2F2F2"/>
        <bgColor indexed="64"/>
      </patternFill>
    </fill>
    <fill>
      <patternFill patternType="solid">
        <fgColor rgb="FFA5A5A5"/>
        <bgColor indexed="64"/>
      </patternFill>
    </fill>
    <fill>
      <patternFill patternType="solid">
        <fgColor theme="9" tint="0.7999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
        <bgColor indexed="64"/>
      </patternFill>
    </fill>
    <fill>
      <patternFill patternType="solid">
        <fgColor theme="4"/>
        <bgColor indexed="64"/>
      </patternFill>
    </fill>
    <fill>
      <patternFill patternType="solid">
        <fgColor theme="4" tint="0.79995"/>
        <bgColor indexed="64"/>
      </patternFill>
    </fill>
    <fill>
      <patternFill patternType="solid">
        <fgColor theme="4" tint="0.59999"/>
        <bgColor indexed="64"/>
      </patternFill>
    </fill>
    <fill>
      <patternFill patternType="solid">
        <fgColor theme="5" tint="0.79995"/>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5"/>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5"/>
        <bgColor indexed="64"/>
      </patternFill>
    </fill>
    <fill>
      <patternFill patternType="solid">
        <fgColor theme="9"/>
        <bgColor indexed="64"/>
      </patternFill>
    </fill>
    <fill>
      <patternFill patternType="solid">
        <fgColor theme="9" tint="0.59999"/>
        <bgColor indexed="64"/>
      </patternFill>
    </fill>
    <fill>
      <patternFill patternType="solid">
        <fgColor theme="9" tint="0.3999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23" fillId="0" borderId="0" applyFill="0" applyBorder="0" applyAlignment="0" applyProtection="0"/>
    <xf numFmtId="0" fontId="24" fillId="3" borderId="0" applyNumberFormat="0" applyBorder="0" applyAlignment="0" applyProtection="0"/>
    <xf numFmtId="0" fontId="25" fillId="4" borderId="21" applyNumberFormat="0" applyAlignment="0" applyProtection="0"/>
    <xf numFmtId="44" fontId="23" fillId="0" borderId="0" applyFill="0" applyBorder="0" applyAlignment="0" applyProtection="0"/>
    <xf numFmtId="41" fontId="23" fillId="0" borderId="0" applyFill="0" applyBorder="0" applyAlignment="0" applyProtection="0"/>
    <xf numFmtId="0" fontId="24" fillId="5" borderId="0" applyNumberFormat="0" applyBorder="0" applyAlignment="0" applyProtection="0"/>
    <xf numFmtId="0" fontId="26" fillId="6" borderId="0" applyNumberFormat="0" applyBorder="0" applyAlignment="0" applyProtection="0"/>
    <xf numFmtId="43" fontId="23" fillId="0" borderId="0" applyFill="0" applyBorder="0" applyAlignment="0" applyProtection="0"/>
    <xf numFmtId="0" fontId="27" fillId="7" borderId="0" applyNumberFormat="0" applyBorder="0" applyAlignment="0" applyProtection="0"/>
    <xf numFmtId="0" fontId="28" fillId="0" borderId="0" applyNumberFormat="0" applyFill="0" applyBorder="0" applyAlignment="0" applyProtection="0"/>
    <xf numFmtId="9" fontId="23" fillId="0" borderId="0" applyFill="0" applyBorder="0" applyAlignment="0" applyProtection="0"/>
    <xf numFmtId="0" fontId="29" fillId="0" borderId="0" applyNumberFormat="0" applyFill="0" applyBorder="0" applyAlignment="0" applyProtection="0"/>
    <xf numFmtId="0" fontId="23" fillId="8" borderId="22" applyNumberFormat="0" applyAlignment="0" applyProtection="0"/>
    <xf numFmtId="0" fontId="27" fillId="9"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 fillId="0" borderId="0">
      <protection locked="0"/>
    </xf>
    <xf numFmtId="0" fontId="21" fillId="0" borderId="0">
      <protection locked="0"/>
    </xf>
    <xf numFmtId="0" fontId="32" fillId="0" borderId="0" applyNumberFormat="0" applyFill="0" applyBorder="0" applyAlignment="0" applyProtection="0"/>
    <xf numFmtId="0" fontId="33" fillId="0" borderId="0" applyNumberFormat="0" applyFill="0" applyBorder="0" applyAlignment="0" applyProtection="0"/>
    <xf numFmtId="0" fontId="21" fillId="0" borderId="0">
      <protection locked="0"/>
    </xf>
    <xf numFmtId="0" fontId="34" fillId="0" borderId="23" applyNumberFormat="0" applyFill="0" applyAlignment="0" applyProtection="0"/>
    <xf numFmtId="0" fontId="35" fillId="0" borderId="23" applyNumberFormat="0" applyFill="0" applyAlignment="0" applyProtection="0"/>
    <xf numFmtId="0" fontId="27" fillId="10" borderId="0" applyNumberFormat="0" applyBorder="0" applyAlignment="0" applyProtection="0"/>
    <xf numFmtId="0" fontId="30" fillId="0" borderId="24" applyNumberFormat="0" applyFill="0" applyAlignment="0" applyProtection="0"/>
    <xf numFmtId="0" fontId="27" fillId="11" borderId="0" applyNumberFormat="0" applyBorder="0" applyAlignment="0" applyProtection="0"/>
    <xf numFmtId="0" fontId="36" fillId="12" borderId="25" applyNumberFormat="0" applyAlignment="0" applyProtection="0"/>
    <xf numFmtId="0" fontId="37" fillId="12" borderId="21" applyNumberFormat="0" applyAlignment="0" applyProtection="0"/>
    <xf numFmtId="0" fontId="38" fillId="13" borderId="26" applyNumberFormat="0" applyAlignment="0" applyProtection="0"/>
    <xf numFmtId="0" fontId="24" fillId="14" borderId="0" applyNumberFormat="0" applyBorder="0" applyAlignment="0" applyProtection="0"/>
    <xf numFmtId="0" fontId="27" fillId="15" borderId="0" applyNumberFormat="0" applyBorder="0" applyAlignment="0" applyProtection="0"/>
    <xf numFmtId="0" fontId="39" fillId="0" borderId="27" applyNumberFormat="0" applyFill="0" applyAlignment="0" applyProtection="0"/>
    <xf numFmtId="0" fontId="40" fillId="0" borderId="28" applyNumberFormat="0" applyFill="0" applyAlignment="0" applyProtection="0"/>
    <xf numFmtId="0" fontId="41" fillId="16" borderId="0" applyNumberFormat="0" applyBorder="0" applyAlignment="0" applyProtection="0"/>
    <xf numFmtId="0" fontId="42" fillId="17" borderId="0" applyNumberFormat="0" applyBorder="0" applyAlignment="0" applyProtection="0"/>
    <xf numFmtId="0" fontId="24" fillId="18" borderId="0" applyNumberFormat="0" applyBorder="0" applyAlignment="0" applyProtection="0"/>
    <xf numFmtId="0" fontId="27"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1" fillId="0" borderId="0">
      <protection locked="0"/>
    </xf>
    <xf numFmtId="0" fontId="27" fillId="28" borderId="0" applyNumberFormat="0" applyBorder="0" applyAlignment="0" applyProtection="0"/>
    <xf numFmtId="0" fontId="24"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4" fillId="32" borderId="0" applyNumberFormat="0" applyBorder="0" applyAlignment="0" applyProtection="0"/>
    <xf numFmtId="0" fontId="27" fillId="33" borderId="0" applyNumberFormat="0" applyBorder="0" applyAlignment="0" applyProtection="0"/>
    <xf numFmtId="0" fontId="43" fillId="0" borderId="0">
      <protection locked="0"/>
    </xf>
    <xf numFmtId="0" fontId="21" fillId="0" borderId="0">
      <protection locked="0"/>
    </xf>
    <xf numFmtId="0" fontId="1" fillId="0" borderId="0">
      <protection locked="0"/>
    </xf>
  </cellStyleXfs>
  <cellXfs count="192">
    <xf numFmtId="0" fontId="0" fillId="0" borderId="0" xfId="0">
      <alignment vertical="center"/>
    </xf>
    <xf numFmtId="0"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18"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18" applyFont="1" applyBorder="1" applyAlignment="1" applyProtection="1">
      <alignment horizontal="center" vertical="center" wrapText="1"/>
    </xf>
    <xf numFmtId="0" fontId="5" fillId="0" borderId="1" xfId="0" applyFont="1" applyBorder="1" applyAlignment="1">
      <alignment horizontal="center" vertical="center"/>
    </xf>
    <xf numFmtId="0" fontId="1" fillId="0" borderId="1" xfId="0" applyFont="1" applyBorder="1">
      <alignment vertical="center"/>
    </xf>
    <xf numFmtId="0" fontId="6" fillId="0" borderId="1" xfId="0" applyFont="1" applyBorder="1" applyAlignment="1">
      <alignment horizontal="center" vertical="center" wrapText="1"/>
    </xf>
    <xf numFmtId="0" fontId="0" fillId="0" borderId="1" xfId="0"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1" xfId="0" applyFont="1" applyBorder="1" applyAlignment="1">
      <alignment vertical="center"/>
    </xf>
    <xf numFmtId="177" fontId="2" fillId="0" borderId="0"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1" fillId="0" borderId="1" xfId="0" applyNumberFormat="1" applyFont="1" applyFill="1" applyBorder="1" applyAlignment="1">
      <alignment vertical="center"/>
    </xf>
    <xf numFmtId="0" fontId="4" fillId="2" borderId="1" xfId="0" applyFont="1" applyFill="1" applyBorder="1" applyAlignment="1">
      <alignment horizontal="center" vertical="center" wrapText="1"/>
    </xf>
    <xf numFmtId="177" fontId="5" fillId="0" borderId="1" xfId="0" applyNumberFormat="1" applyFont="1" applyBorder="1" applyAlignment="1">
      <alignment horizontal="center" vertical="center" wrapText="1"/>
    </xf>
    <xf numFmtId="0" fontId="4" fillId="0" borderId="1" xfId="0" applyFont="1" applyBorder="1" applyAlignment="1">
      <alignment vertical="center" wrapText="1"/>
    </xf>
    <xf numFmtId="177" fontId="8" fillId="0" borderId="1" xfId="0" applyNumberFormat="1" applyFont="1" applyBorder="1" applyAlignment="1">
      <alignment vertical="center"/>
    </xf>
    <xf numFmtId="177" fontId="8" fillId="0" borderId="1" xfId="0" applyNumberFormat="1" applyFont="1" applyBorder="1" applyAlignment="1">
      <alignment horizontal="center" vertical="center"/>
    </xf>
    <xf numFmtId="0" fontId="8" fillId="0" borderId="1" xfId="0" applyFont="1" applyBorder="1">
      <alignment vertical="center"/>
    </xf>
    <xf numFmtId="0" fontId="8" fillId="0" borderId="1" xfId="0" applyNumberFormat="1" applyFont="1" applyFill="1" applyBorder="1" applyAlignment="1">
      <alignment vertical="center"/>
    </xf>
    <xf numFmtId="0"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6" fontId="10" fillId="0" borderId="0" xfId="0" applyNumberFormat="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5" fillId="0" borderId="6" xfId="0" applyFont="1" applyBorder="1" applyAlignment="1">
      <alignment horizontal="center" vertical="center"/>
    </xf>
    <xf numFmtId="0" fontId="9" fillId="0" borderId="1" xfId="0" applyFont="1" applyBorder="1" applyAlignment="1">
      <alignment horizontal="center" vertical="center"/>
    </xf>
    <xf numFmtId="0" fontId="5" fillId="0" borderId="7" xfId="0" applyFont="1" applyBorder="1" applyAlignment="1">
      <alignment horizontal="center" vertical="center"/>
    </xf>
    <xf numFmtId="177" fontId="10" fillId="0" borderId="0"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7" fontId="4"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176" fontId="5" fillId="0" borderId="1" xfId="0" applyNumberFormat="1" applyFont="1" applyBorder="1" applyAlignment="1">
      <alignment horizontal="center" vertical="center"/>
    </xf>
    <xf numFmtId="177"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5" fillId="0" borderId="6" xfId="0" applyFont="1" applyBorder="1" applyAlignment="1">
      <alignment horizontal="center" vertical="center" wrapText="1"/>
    </xf>
    <xf numFmtId="0" fontId="0" fillId="0" borderId="6" xfId="0" applyFont="1" applyBorder="1">
      <alignment vertical="center"/>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12" fillId="0" borderId="1" xfId="0" applyFont="1" applyBorder="1" applyAlignment="1" applyProtection="1">
      <alignment horizontal="center" vertical="center" wrapTex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12" fillId="0" borderId="1" xfId="0" applyNumberFormat="1" applyFont="1" applyBorder="1" applyAlignment="1">
      <alignment vertical="center" wrapText="1"/>
    </xf>
    <xf numFmtId="176" fontId="3" fillId="0" borderId="1" xfId="0" applyNumberFormat="1" applyFont="1" applyBorder="1" applyAlignment="1">
      <alignment vertical="center" wrapText="1"/>
    </xf>
    <xf numFmtId="0" fontId="13" fillId="0" borderId="1" xfId="0" applyFont="1" applyBorder="1" applyAlignment="1">
      <alignment horizontal="center" vertical="center"/>
    </xf>
    <xf numFmtId="177" fontId="4" fillId="0" borderId="9" xfId="0" applyNumberFormat="1" applyFont="1" applyBorder="1" applyAlignment="1">
      <alignment horizontal="center" vertical="center" wrapText="1"/>
    </xf>
    <xf numFmtId="177" fontId="4" fillId="0" borderId="8" xfId="0" applyNumberFormat="1" applyFont="1" applyBorder="1" applyAlignment="1">
      <alignment horizontal="center" vertical="center" wrapText="1"/>
    </xf>
    <xf numFmtId="177" fontId="1" fillId="0" borderId="5" xfId="0" applyNumberFormat="1" applyFont="1" applyBorder="1">
      <alignment vertical="center"/>
    </xf>
    <xf numFmtId="176" fontId="5" fillId="0" borderId="8" xfId="0" applyNumberFormat="1" applyFont="1" applyBorder="1" applyAlignment="1">
      <alignment horizontal="center" vertical="center"/>
    </xf>
    <xf numFmtId="177" fontId="3" fillId="0" borderId="1" xfId="0" applyNumberFormat="1" applyFont="1" applyBorder="1" applyAlignment="1">
      <alignment vertical="center" wrapText="1"/>
    </xf>
    <xf numFmtId="0" fontId="3" fillId="0" borderId="1" xfId="0" applyFont="1" applyBorder="1" applyAlignment="1">
      <alignment horizontal="center" vertical="center"/>
    </xf>
    <xf numFmtId="177" fontId="0" fillId="0" borderId="0" xfId="0" applyNumberFormat="1">
      <alignment vertical="center"/>
    </xf>
    <xf numFmtId="0" fontId="10" fillId="0" borderId="0" xfId="0" applyFont="1" applyAlignment="1">
      <alignment horizontal="center" vertical="center" wrapText="1"/>
    </xf>
    <xf numFmtId="0" fontId="5" fillId="0" borderId="1" xfId="0" applyFont="1" applyBorder="1" applyAlignment="1">
      <alignment horizontal="left" vertical="center" wrapText="1"/>
    </xf>
    <xf numFmtId="0" fontId="5" fillId="0" borderId="7" xfId="0" applyFont="1" applyBorder="1" applyAlignment="1">
      <alignment horizontal="center" vertical="center" wrapText="1"/>
    </xf>
    <xf numFmtId="178" fontId="5"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vertical="center" wrapText="1"/>
    </xf>
    <xf numFmtId="0" fontId="1" fillId="0" borderId="0" xfId="0" applyFont="1">
      <alignment vertical="center"/>
    </xf>
    <xf numFmtId="177" fontId="10" fillId="0" borderId="0" xfId="0" applyNumberFormat="1" applyFont="1" applyAlignment="1">
      <alignment horizontal="center" vertical="center" wrapText="1"/>
    </xf>
    <xf numFmtId="0" fontId="14" fillId="0" borderId="0" xfId="0" applyFont="1" applyAlignment="1">
      <alignment vertical="center" wrapText="1"/>
    </xf>
    <xf numFmtId="178" fontId="3"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4" fillId="0" borderId="9" xfId="0" applyFont="1" applyBorder="1" applyAlignment="1">
      <alignment horizontal="left" vertical="center" wrapText="1"/>
    </xf>
    <xf numFmtId="177" fontId="1" fillId="0" borderId="0" xfId="0" applyNumberFormat="1" applyFont="1">
      <alignment vertical="center"/>
    </xf>
    <xf numFmtId="0" fontId="0" fillId="0" borderId="0" xfId="0" applyFill="1" applyBorder="1" applyAlignment="1">
      <alignment vertical="center"/>
    </xf>
    <xf numFmtId="177" fontId="0" fillId="0" borderId="0" xfId="0" applyNumberFormat="1" applyFill="1" applyBorder="1" applyAlignment="1">
      <alignment vertical="center"/>
    </xf>
    <xf numFmtId="0" fontId="10"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0" fillId="0" borderId="7" xfId="0" applyFill="1" applyBorder="1" applyAlignment="1">
      <alignment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177" fontId="10" fillId="0" borderId="0" xfId="0" applyNumberFormat="1" applyFont="1" applyFill="1" applyAlignment="1">
      <alignment horizontal="center" vertical="center"/>
    </xf>
    <xf numFmtId="177"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5" fillId="0" borderId="6" xfId="0" applyNumberFormat="1" applyFont="1" applyFill="1" applyBorder="1" applyAlignment="1">
      <alignment horizontal="center" vertical="center"/>
    </xf>
    <xf numFmtId="177" fontId="5" fillId="0" borderId="6" xfId="0" applyNumberFormat="1" applyFont="1" applyFill="1" applyBorder="1" applyAlignment="1">
      <alignment horizontal="center" vertical="center"/>
    </xf>
    <xf numFmtId="9" fontId="5" fillId="0" borderId="13" xfId="0" applyNumberFormat="1" applyFont="1" applyFill="1" applyBorder="1" applyAlignment="1">
      <alignment horizontal="center" vertical="center" wrapText="1"/>
    </xf>
    <xf numFmtId="0" fontId="0" fillId="0" borderId="5" xfId="0" applyFill="1" applyBorder="1" applyAlignment="1">
      <alignment vertical="center"/>
    </xf>
    <xf numFmtId="177" fontId="5" fillId="0" borderId="7" xfId="0" applyNumberFormat="1" applyFont="1" applyFill="1" applyBorder="1" applyAlignment="1">
      <alignment horizontal="center" vertical="center"/>
    </xf>
    <xf numFmtId="9" fontId="5" fillId="0" borderId="10" xfId="0" applyNumberFormat="1" applyFont="1" applyFill="1" applyBorder="1" applyAlignment="1">
      <alignment horizontal="center" vertical="center" wrapText="1"/>
    </xf>
    <xf numFmtId="0" fontId="0" fillId="0" borderId="1" xfId="0" applyFill="1" applyBorder="1" applyAlignment="1">
      <alignment vertical="center"/>
    </xf>
    <xf numFmtId="176" fontId="5" fillId="0" borderId="7" xfId="0" applyNumberFormat="1" applyFont="1" applyFill="1" applyBorder="1" applyAlignment="1">
      <alignment horizontal="center" vertical="center"/>
    </xf>
    <xf numFmtId="176" fontId="16" fillId="0" borderId="6" xfId="0" applyNumberFormat="1" applyFont="1" applyFill="1" applyBorder="1" applyAlignment="1">
      <alignment vertical="center"/>
    </xf>
    <xf numFmtId="177" fontId="16" fillId="0" borderId="6" xfId="0" applyNumberFormat="1" applyFont="1" applyFill="1" applyBorder="1" applyAlignment="1">
      <alignment vertical="center"/>
    </xf>
    <xf numFmtId="177" fontId="3" fillId="0" borderId="7" xfId="0" applyNumberFormat="1" applyFont="1" applyFill="1" applyBorder="1" applyAlignment="1">
      <alignment horizontal="center" vertical="center"/>
    </xf>
    <xf numFmtId="176" fontId="16" fillId="0" borderId="13" xfId="0" applyNumberFormat="1" applyFont="1" applyFill="1" applyBorder="1" applyAlignment="1">
      <alignment vertical="center"/>
    </xf>
    <xf numFmtId="0" fontId="7" fillId="0" borderId="1" xfId="0" applyFont="1" applyFill="1" applyBorder="1" applyAlignment="1">
      <alignment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176" fontId="17" fillId="0" borderId="0" xfId="0" applyNumberFormat="1" applyFont="1" applyAlignment="1">
      <alignment horizontal="center" vertical="center" wrapText="1"/>
    </xf>
    <xf numFmtId="176" fontId="13" fillId="0" borderId="1"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179" fontId="5" fillId="0" borderId="12" xfId="0" applyNumberFormat="1" applyFont="1" applyBorder="1" applyAlignment="1">
      <alignment horizontal="justify" vertical="center" wrapText="1"/>
    </xf>
    <xf numFmtId="0" fontId="5" fillId="0" borderId="5" xfId="0" applyFont="1" applyBorder="1" applyAlignment="1">
      <alignment horizontal="justify" vertical="center" wrapText="1"/>
    </xf>
    <xf numFmtId="176" fontId="5" fillId="0" borderId="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 xfId="0" applyFont="1" applyBorder="1" applyAlignment="1">
      <alignment horizontal="center" vertical="center" wrapText="1"/>
    </xf>
    <xf numFmtId="176" fontId="3" fillId="0" borderId="5" xfId="0" applyNumberFormat="1" applyFont="1" applyBorder="1" applyAlignment="1">
      <alignment horizontal="center" vertical="center" wrapText="1"/>
    </xf>
    <xf numFmtId="177" fontId="17" fillId="0" borderId="0" xfId="0" applyNumberFormat="1" applyFont="1" applyAlignment="1">
      <alignment horizontal="center" vertical="center" wrapText="1"/>
    </xf>
    <xf numFmtId="178" fontId="13" fillId="0" borderId="1" xfId="0" applyNumberFormat="1" applyFont="1" applyFill="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78" fontId="5" fillId="0" borderId="5" xfId="0" applyNumberFormat="1" applyFont="1" applyBorder="1" applyAlignment="1">
      <alignment horizontal="center" vertical="center" wrapText="1"/>
    </xf>
    <xf numFmtId="0" fontId="4" fillId="0" borderId="0" xfId="0" applyFont="1" applyAlignment="1">
      <alignment vertical="center" wrapText="1"/>
    </xf>
    <xf numFmtId="177" fontId="3" fillId="0" borderId="5" xfId="0" applyNumberFormat="1" applyFont="1" applyBorder="1" applyAlignment="1">
      <alignment horizontal="center" vertical="center" wrapText="1"/>
    </xf>
    <xf numFmtId="178" fontId="3" fillId="0" borderId="5" xfId="0" applyNumberFormat="1" applyFont="1" applyBorder="1" applyAlignment="1">
      <alignment horizontal="center" vertical="center" wrapText="1"/>
    </xf>
    <xf numFmtId="0" fontId="0" fillId="0" borderId="0" xfId="0" applyNumberFormat="1" applyFont="1" applyFill="1" applyBorder="1" applyAlignment="1">
      <alignment vertical="center"/>
    </xf>
    <xf numFmtId="0" fontId="5" fillId="0" borderId="0" xfId="0" applyNumberFormat="1" applyFont="1" applyFill="1" applyBorder="1" applyAlignment="1">
      <alignment vertical="center" wrapText="1"/>
    </xf>
    <xf numFmtId="0" fontId="0" fillId="0" borderId="0" xfId="0" applyFont="1" applyFill="1">
      <alignment vertical="center"/>
    </xf>
    <xf numFmtId="0" fontId="10" fillId="0" borderId="0"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9" fontId="5" fillId="0" borderId="6" xfId="0" applyNumberFormat="1" applyFont="1" applyFill="1" applyBorder="1" applyAlignment="1">
      <alignment horizontal="center" vertical="center" wrapText="1"/>
    </xf>
    <xf numFmtId="178" fontId="5" fillId="0" borderId="6" xfId="0" applyNumberFormat="1" applyFont="1" applyFill="1" applyBorder="1" applyAlignment="1">
      <alignment horizontal="center" vertical="center" wrapText="1"/>
    </xf>
    <xf numFmtId="179" fontId="5" fillId="0" borderId="7" xfId="0" applyNumberFormat="1" applyFont="1" applyFill="1" applyBorder="1" applyAlignment="1">
      <alignment horizontal="center" vertical="center" wrapText="1"/>
    </xf>
    <xf numFmtId="178" fontId="5" fillId="0" borderId="7" xfId="0"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0" fontId="0" fillId="0" borderId="20" xfId="0" applyFont="1" applyFill="1" applyBorder="1">
      <alignment vertical="center"/>
    </xf>
    <xf numFmtId="0" fontId="5" fillId="0" borderId="19" xfId="0" applyFont="1" applyFill="1" applyBorder="1" applyAlignment="1">
      <alignment horizontal="center" vertical="center"/>
    </xf>
    <xf numFmtId="0" fontId="0" fillId="0" borderId="6" xfId="0" applyFont="1" applyFill="1" applyBorder="1">
      <alignment vertical="center"/>
    </xf>
    <xf numFmtId="0" fontId="0" fillId="0" borderId="7" xfId="0" applyFont="1" applyFill="1" applyBorder="1">
      <alignment vertical="center"/>
    </xf>
    <xf numFmtId="178" fontId="5" fillId="0" borderId="7" xfId="0" applyNumberFormat="1" applyFont="1" applyFill="1" applyBorder="1" applyAlignment="1">
      <alignment horizontal="center" vertical="center"/>
    </xf>
    <xf numFmtId="180" fontId="5" fillId="0" borderId="7" xfId="0" applyNumberFormat="1" applyFont="1" applyFill="1" applyBorder="1" applyAlignment="1">
      <alignment horizontal="center" vertical="center" wrapText="1"/>
    </xf>
    <xf numFmtId="181" fontId="5" fillId="0" borderId="7" xfId="0" applyNumberFormat="1" applyFont="1" applyFill="1" applyBorder="1" applyAlignment="1">
      <alignment horizontal="center" vertical="center" wrapText="1"/>
    </xf>
    <xf numFmtId="10" fontId="5"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178" fontId="5" fillId="0" borderId="19"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82" fontId="5"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5" fillId="0" borderId="7" xfId="0" applyNumberFormat="1" applyFont="1" applyFill="1" applyBorder="1" applyAlignment="1">
      <alignment horizontal="right" vertical="center" wrapText="1"/>
    </xf>
    <xf numFmtId="0" fontId="6"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18" fillId="0" borderId="0" xfId="0" applyFont="1" applyBorder="1" applyAlignment="1">
      <alignment horizontal="center" vertical="center" wrapText="1"/>
    </xf>
    <xf numFmtId="0" fontId="19" fillId="0" borderId="0" xfId="0"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9" fillId="0" borderId="1" xfId="0" applyFont="1" applyBorder="1" applyAlignment="1">
      <alignment horizontal="center" vertical="center"/>
    </xf>
    <xf numFmtId="177" fontId="19"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19" fillId="0" borderId="1" xfId="0" applyFont="1" applyBorder="1">
      <alignment vertical="center"/>
    </xf>
    <xf numFmtId="177" fontId="22" fillId="0" borderId="1" xfId="0" applyNumberFormat="1" applyFont="1" applyBorder="1" applyAlignment="1">
      <alignment horizontal="center" vertical="center"/>
    </xf>
    <xf numFmtId="0" fontId="21" fillId="0" borderId="1" xfId="0" applyFont="1" applyBorder="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常规 2 3 2 2 2 4" xfId="18"/>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常规 60" xfId="46"/>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2" xfId="54"/>
    <cellStyle name="常规 20"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
  <sheetViews>
    <sheetView tabSelected="1" zoomScale="86" zoomScaleNormal="86" workbookViewId="0">
      <selection activeCell="C27" sqref="C27"/>
    </sheetView>
  </sheetViews>
  <sheetFormatPr defaultColWidth="9" defaultRowHeight="13.5" outlineLevelCol="3"/>
  <cols>
    <col min="1" max="1" width="7.26666666666667" customWidth="1"/>
    <col min="2" max="2" width="42.875" customWidth="1"/>
    <col min="3" max="3" width="22.3833333333333" customWidth="1"/>
    <col min="4" max="4" width="27.6166666666667" customWidth="1"/>
  </cols>
  <sheetData>
    <row r="1" ht="41" customHeight="1" spans="1:4">
      <c r="A1" s="181" t="s">
        <v>0</v>
      </c>
      <c r="B1" s="181"/>
      <c r="C1" s="181"/>
      <c r="D1" s="181"/>
    </row>
    <row r="2" ht="22" customHeight="1" spans="1:4">
      <c r="A2" s="182" t="s">
        <v>1</v>
      </c>
      <c r="B2" s="182"/>
      <c r="C2" s="182"/>
      <c r="D2" s="182"/>
    </row>
    <row r="3" ht="62" customHeight="1" spans="1:4">
      <c r="A3" s="183" t="s">
        <v>2</v>
      </c>
      <c r="B3" s="183" t="s">
        <v>3</v>
      </c>
      <c r="C3" s="184" t="s">
        <v>4</v>
      </c>
      <c r="D3" s="183" t="s">
        <v>5</v>
      </c>
    </row>
    <row r="4" ht="33.75" customHeight="1" spans="1:4">
      <c r="A4" s="185">
        <v>1</v>
      </c>
      <c r="B4" s="185" t="s">
        <v>6</v>
      </c>
      <c r="C4" s="186"/>
      <c r="D4" s="187"/>
    </row>
    <row r="5" ht="27.75" customHeight="1" spans="1:4">
      <c r="A5" s="185">
        <v>2</v>
      </c>
      <c r="B5" s="185" t="s">
        <v>7</v>
      </c>
      <c r="C5" s="186"/>
      <c r="D5" s="187"/>
    </row>
    <row r="6" ht="27.75" customHeight="1" spans="1:4">
      <c r="A6" s="185">
        <v>3</v>
      </c>
      <c r="B6" s="185" t="s">
        <v>8</v>
      </c>
      <c r="C6" s="186"/>
      <c r="D6" s="187"/>
    </row>
    <row r="7" ht="27.75" customHeight="1" spans="1:4">
      <c r="A7" s="185">
        <v>4</v>
      </c>
      <c r="B7" s="185" t="s">
        <v>9</v>
      </c>
      <c r="C7" s="186"/>
      <c r="D7" s="187"/>
    </row>
    <row r="8" ht="27.75" customHeight="1" spans="1:4">
      <c r="A8" s="185">
        <v>5</v>
      </c>
      <c r="B8" s="185" t="s">
        <v>10</v>
      </c>
      <c r="C8" s="186"/>
      <c r="D8" s="187"/>
    </row>
    <row r="9" ht="27.75" customHeight="1" spans="1:4">
      <c r="A9" s="185">
        <v>6</v>
      </c>
      <c r="B9" s="185" t="s">
        <v>11</v>
      </c>
      <c r="C9" s="186"/>
      <c r="D9" s="187"/>
    </row>
    <row r="10" ht="31.5" customHeight="1" spans="1:4">
      <c r="A10" s="188" t="s">
        <v>12</v>
      </c>
      <c r="B10" s="189"/>
      <c r="C10" s="190"/>
      <c r="D10" s="191"/>
    </row>
  </sheetData>
  <mergeCells count="3">
    <mergeCell ref="A1:D1"/>
    <mergeCell ref="A2:D2"/>
    <mergeCell ref="A10:B10"/>
  </mergeCells>
  <printOptions horizontalCentered="1"/>
  <pageMargins left="0.751388888888889" right="0.751388888888889" top="1" bottom="1" header="0.5" footer="0.5"/>
  <pageSetup paperSize="1" scale="87"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37"/>
  <sheetViews>
    <sheetView view="pageBreakPreview" zoomScaleNormal="100" topLeftCell="A122" workbookViewId="0">
      <selection activeCell="I134" sqref="I134"/>
    </sheetView>
  </sheetViews>
  <sheetFormatPr defaultColWidth="9" defaultRowHeight="13.5"/>
  <cols>
    <col min="1" max="1" width="6" style="152" customWidth="1"/>
    <col min="2" max="2" width="12.5" style="152"/>
    <col min="3" max="3" width="28.5" style="152"/>
    <col min="4" max="4" width="27.25" style="152" hidden="1" customWidth="1"/>
    <col min="5" max="5" width="7.75" style="152" customWidth="1"/>
    <col min="6" max="6" width="5.75" style="152"/>
    <col min="7" max="7" width="9.25" style="152" hidden="1" customWidth="1"/>
    <col min="8" max="8" width="9.25" style="152" customWidth="1"/>
    <col min="9" max="9" width="11.125" style="152" customWidth="1"/>
    <col min="10" max="10" width="11.125" style="152" hidden="1" customWidth="1"/>
    <col min="11" max="13" width="14" style="152" hidden="1" customWidth="1"/>
    <col min="14" max="14" width="29.125" style="152" hidden="1" customWidth="1"/>
    <col min="15" max="15" width="24.125" style="152"/>
    <col min="16" max="29" width="9" style="152"/>
    <col min="30" max="16384" width="9" style="154"/>
  </cols>
  <sheetData>
    <row r="1" ht="32" customHeight="1" spans="1:15">
      <c r="A1" s="155" t="s">
        <v>13</v>
      </c>
      <c r="B1" s="155"/>
      <c r="C1" s="155"/>
      <c r="D1" s="155"/>
      <c r="E1" s="155"/>
      <c r="F1" s="155"/>
      <c r="G1" s="155"/>
      <c r="H1" s="155"/>
      <c r="I1" s="155"/>
      <c r="J1" s="155"/>
      <c r="K1" s="155"/>
      <c r="L1" s="155"/>
      <c r="M1" s="155"/>
      <c r="N1" s="155"/>
      <c r="O1" s="155"/>
    </row>
    <row r="2" ht="45" customHeight="1" spans="1:15">
      <c r="A2" s="95" t="s">
        <v>2</v>
      </c>
      <c r="B2" s="95" t="s">
        <v>3</v>
      </c>
      <c r="C2" s="95" t="s">
        <v>14</v>
      </c>
      <c r="D2" s="95" t="s">
        <v>15</v>
      </c>
      <c r="E2" s="95" t="s">
        <v>16</v>
      </c>
      <c r="F2" s="95" t="s">
        <v>17</v>
      </c>
      <c r="G2" s="156" t="s">
        <v>18</v>
      </c>
      <c r="H2" s="156" t="s">
        <v>19</v>
      </c>
      <c r="I2" s="156" t="s">
        <v>20</v>
      </c>
      <c r="J2" s="156" t="s">
        <v>21</v>
      </c>
      <c r="K2" s="95" t="s">
        <v>22</v>
      </c>
      <c r="L2" s="156" t="s">
        <v>23</v>
      </c>
      <c r="M2" s="95" t="s">
        <v>24</v>
      </c>
      <c r="N2" s="95" t="s">
        <v>25</v>
      </c>
      <c r="O2" s="95" t="s">
        <v>5</v>
      </c>
    </row>
    <row r="3" ht="48" spans="1:15">
      <c r="A3" s="97">
        <v>1</v>
      </c>
      <c r="B3" s="97" t="s">
        <v>26</v>
      </c>
      <c r="C3" s="97" t="s">
        <v>27</v>
      </c>
      <c r="D3" s="97" t="s">
        <v>28</v>
      </c>
      <c r="E3" s="97" t="s">
        <v>29</v>
      </c>
      <c r="F3" s="157">
        <v>20</v>
      </c>
      <c r="G3" s="158">
        <f>100+100+100+400+200+300</f>
        <v>1200</v>
      </c>
      <c r="H3" s="158"/>
      <c r="I3" s="158"/>
      <c r="J3" s="169" t="e">
        <f>汇总表!#REF!</f>
        <v>#REF!</v>
      </c>
      <c r="K3" s="170" t="e">
        <f>F3*G3*J3</f>
        <v>#REF!</v>
      </c>
      <c r="L3" s="169" t="e">
        <f>汇总表!#REF!</f>
        <v>#REF!</v>
      </c>
      <c r="M3" s="170" t="e">
        <f>F3*G3*L3</f>
        <v>#REF!</v>
      </c>
      <c r="N3" s="97" t="s">
        <v>30</v>
      </c>
      <c r="O3" s="97"/>
    </row>
    <row r="4" ht="36" spans="1:15">
      <c r="A4" s="100">
        <v>2</v>
      </c>
      <c r="B4" s="100" t="s">
        <v>31</v>
      </c>
      <c r="C4" s="100" t="s">
        <v>32</v>
      </c>
      <c r="D4" s="100" t="s">
        <v>33</v>
      </c>
      <c r="E4" s="100" t="s">
        <v>29</v>
      </c>
      <c r="F4" s="159">
        <v>8</v>
      </c>
      <c r="G4" s="160">
        <f>200+100+100+150+150+200+300</f>
        <v>1200</v>
      </c>
      <c r="H4" s="158"/>
      <c r="I4" s="160"/>
      <c r="J4" s="169" t="e">
        <f>J3</f>
        <v>#REF!</v>
      </c>
      <c r="K4" s="170" t="e">
        <f t="shared" ref="K4:K35" si="0">F4*G4*J4</f>
        <v>#REF!</v>
      </c>
      <c r="L4" s="169" t="e">
        <f>L3</f>
        <v>#REF!</v>
      </c>
      <c r="M4" s="170" t="e">
        <f t="shared" ref="M4:M35" si="1">F4*G4*L4</f>
        <v>#REF!</v>
      </c>
      <c r="N4" s="100" t="s">
        <v>34</v>
      </c>
      <c r="O4" s="100"/>
    </row>
    <row r="5" ht="36" spans="1:15">
      <c r="A5" s="100">
        <v>3</v>
      </c>
      <c r="B5" s="100" t="s">
        <v>35</v>
      </c>
      <c r="C5" s="100" t="s">
        <v>36</v>
      </c>
      <c r="D5" s="100" t="s">
        <v>33</v>
      </c>
      <c r="E5" s="100" t="s">
        <v>29</v>
      </c>
      <c r="F5" s="159">
        <v>8</v>
      </c>
      <c r="G5" s="160">
        <f>200+100+100+100+150+150+200+300</f>
        <v>1300</v>
      </c>
      <c r="H5" s="158"/>
      <c r="I5" s="160"/>
      <c r="J5" s="169" t="e">
        <f>J4</f>
        <v>#REF!</v>
      </c>
      <c r="K5" s="170" t="e">
        <f t="shared" si="0"/>
        <v>#REF!</v>
      </c>
      <c r="L5" s="169" t="e">
        <f>L4</f>
        <v>#REF!</v>
      </c>
      <c r="M5" s="170" t="e">
        <f t="shared" si="1"/>
        <v>#REF!</v>
      </c>
      <c r="N5" s="100" t="s">
        <v>37</v>
      </c>
      <c r="O5" s="100"/>
    </row>
    <row r="6" ht="36" spans="1:15">
      <c r="A6" s="100">
        <v>4</v>
      </c>
      <c r="B6" s="100" t="s">
        <v>38</v>
      </c>
      <c r="C6" s="100" t="s">
        <v>39</v>
      </c>
      <c r="D6" s="160" t="s">
        <v>40</v>
      </c>
      <c r="E6" s="100" t="s">
        <v>29</v>
      </c>
      <c r="F6" s="159">
        <v>12</v>
      </c>
      <c r="G6" s="160">
        <f>150+200+300+150+300+300+100</f>
        <v>1500</v>
      </c>
      <c r="H6" s="158"/>
      <c r="I6" s="160"/>
      <c r="J6" s="169" t="e">
        <f>J5</f>
        <v>#REF!</v>
      </c>
      <c r="K6" s="170" t="e">
        <f t="shared" si="0"/>
        <v>#REF!</v>
      </c>
      <c r="L6" s="169" t="e">
        <f t="shared" ref="L6:L37" si="2">L5</f>
        <v>#REF!</v>
      </c>
      <c r="M6" s="170" t="e">
        <f t="shared" si="1"/>
        <v>#REF!</v>
      </c>
      <c r="N6" s="100" t="s">
        <v>41</v>
      </c>
      <c r="O6" s="100"/>
    </row>
    <row r="7" ht="34" customHeight="1" spans="1:15">
      <c r="A7" s="100">
        <v>5</v>
      </c>
      <c r="B7" s="100" t="s">
        <v>42</v>
      </c>
      <c r="C7" s="100" t="s">
        <v>43</v>
      </c>
      <c r="D7" s="160" t="s">
        <v>44</v>
      </c>
      <c r="E7" s="100" t="s">
        <v>29</v>
      </c>
      <c r="F7" s="159">
        <v>8</v>
      </c>
      <c r="G7" s="160">
        <f>200+1000+800+150+150</f>
        <v>2300</v>
      </c>
      <c r="H7" s="158"/>
      <c r="I7" s="160"/>
      <c r="J7" s="169" t="e">
        <f>J6</f>
        <v>#REF!</v>
      </c>
      <c r="K7" s="170" t="e">
        <f t="shared" si="0"/>
        <v>#REF!</v>
      </c>
      <c r="L7" s="169" t="e">
        <f t="shared" si="2"/>
        <v>#REF!</v>
      </c>
      <c r="M7" s="170" t="e">
        <f t="shared" si="1"/>
        <v>#REF!</v>
      </c>
      <c r="N7" s="100" t="s">
        <v>45</v>
      </c>
      <c r="O7" s="100"/>
    </row>
    <row r="8" ht="44" customHeight="1" spans="1:15">
      <c r="A8" s="100">
        <v>6</v>
      </c>
      <c r="B8" s="100" t="s">
        <v>46</v>
      </c>
      <c r="C8" s="100" t="s">
        <v>47</v>
      </c>
      <c r="D8" s="160" t="s">
        <v>48</v>
      </c>
      <c r="E8" s="100" t="s">
        <v>29</v>
      </c>
      <c r="F8" s="159">
        <v>10</v>
      </c>
      <c r="G8" s="160">
        <f>200+600+500+500+300+800</f>
        <v>2900</v>
      </c>
      <c r="H8" s="158"/>
      <c r="I8" s="160"/>
      <c r="J8" s="169" t="e">
        <f t="shared" ref="J8:J39" si="3">J7</f>
        <v>#REF!</v>
      </c>
      <c r="K8" s="170" t="e">
        <f t="shared" si="0"/>
        <v>#REF!</v>
      </c>
      <c r="L8" s="169" t="e">
        <f t="shared" si="2"/>
        <v>#REF!</v>
      </c>
      <c r="M8" s="170" t="e">
        <f t="shared" si="1"/>
        <v>#REF!</v>
      </c>
      <c r="N8" s="100" t="s">
        <v>49</v>
      </c>
      <c r="O8" s="100"/>
    </row>
    <row r="9" ht="30" customHeight="1" spans="1:15">
      <c r="A9" s="100">
        <v>7</v>
      </c>
      <c r="B9" s="161" t="s">
        <v>50</v>
      </c>
      <c r="C9" s="100" t="s">
        <v>51</v>
      </c>
      <c r="D9" s="100" t="s">
        <v>52</v>
      </c>
      <c r="E9" s="100" t="s">
        <v>29</v>
      </c>
      <c r="F9" s="159">
        <v>16</v>
      </c>
      <c r="G9" s="160">
        <v>1000</v>
      </c>
      <c r="H9" s="158"/>
      <c r="I9" s="160"/>
      <c r="J9" s="169" t="e">
        <f t="shared" si="3"/>
        <v>#REF!</v>
      </c>
      <c r="K9" s="170" t="e">
        <f t="shared" si="0"/>
        <v>#REF!</v>
      </c>
      <c r="L9" s="169" t="e">
        <f t="shared" si="2"/>
        <v>#REF!</v>
      </c>
      <c r="M9" s="170" t="e">
        <f t="shared" si="1"/>
        <v>#REF!</v>
      </c>
      <c r="N9" s="100" t="s">
        <v>53</v>
      </c>
      <c r="O9" s="100"/>
    </row>
    <row r="10" ht="166.5" customHeight="1" spans="1:15">
      <c r="A10" s="100">
        <v>8</v>
      </c>
      <c r="B10" s="162"/>
      <c r="C10" s="100" t="s">
        <v>54</v>
      </c>
      <c r="D10" s="100" t="s">
        <v>55</v>
      </c>
      <c r="E10" s="100" t="s">
        <v>29</v>
      </c>
      <c r="F10" s="159">
        <v>1500</v>
      </c>
      <c r="G10" s="160">
        <v>60</v>
      </c>
      <c r="H10" s="158"/>
      <c r="I10" s="160"/>
      <c r="J10" s="169" t="e">
        <f t="shared" si="3"/>
        <v>#REF!</v>
      </c>
      <c r="K10" s="170" t="e">
        <f t="shared" si="0"/>
        <v>#REF!</v>
      </c>
      <c r="L10" s="169" t="e">
        <f t="shared" si="2"/>
        <v>#REF!</v>
      </c>
      <c r="M10" s="170" t="e">
        <f t="shared" si="1"/>
        <v>#REF!</v>
      </c>
      <c r="N10" s="100" t="s">
        <v>56</v>
      </c>
      <c r="O10" s="100"/>
    </row>
    <row r="11" ht="28" customHeight="1" spans="1:15">
      <c r="A11" s="100">
        <v>9</v>
      </c>
      <c r="B11" s="162"/>
      <c r="C11" s="100" t="s">
        <v>57</v>
      </c>
      <c r="D11" s="100" t="s">
        <v>58</v>
      </c>
      <c r="E11" s="100" t="s">
        <v>29</v>
      </c>
      <c r="F11" s="159">
        <v>60</v>
      </c>
      <c r="G11" s="160">
        <v>300</v>
      </c>
      <c r="H11" s="158"/>
      <c r="I11" s="160"/>
      <c r="J11" s="169" t="e">
        <f t="shared" si="3"/>
        <v>#REF!</v>
      </c>
      <c r="K11" s="170" t="e">
        <f t="shared" si="0"/>
        <v>#REF!</v>
      </c>
      <c r="L11" s="169" t="e">
        <f t="shared" si="2"/>
        <v>#REF!</v>
      </c>
      <c r="M11" s="170" t="e">
        <f t="shared" si="1"/>
        <v>#REF!</v>
      </c>
      <c r="N11" s="100" t="s">
        <v>59</v>
      </c>
      <c r="O11" s="100"/>
    </row>
    <row r="12" ht="48" customHeight="1" spans="1:16">
      <c r="A12" s="100">
        <v>10</v>
      </c>
      <c r="B12" s="162"/>
      <c r="C12" s="100" t="s">
        <v>60</v>
      </c>
      <c r="D12" s="100" t="s">
        <v>61</v>
      </c>
      <c r="E12" s="100" t="s">
        <v>29</v>
      </c>
      <c r="F12" s="159">
        <v>300</v>
      </c>
      <c r="G12" s="160">
        <v>500</v>
      </c>
      <c r="H12" s="158"/>
      <c r="I12" s="160"/>
      <c r="J12" s="169" t="e">
        <f t="shared" si="3"/>
        <v>#REF!</v>
      </c>
      <c r="K12" s="170" t="e">
        <f t="shared" si="0"/>
        <v>#REF!</v>
      </c>
      <c r="L12" s="169" t="e">
        <f t="shared" si="2"/>
        <v>#REF!</v>
      </c>
      <c r="M12" s="170" t="e">
        <f t="shared" si="1"/>
        <v>#REF!</v>
      </c>
      <c r="N12" s="100" t="s">
        <v>62</v>
      </c>
      <c r="O12" s="100"/>
      <c r="P12" s="152" t="s">
        <v>63</v>
      </c>
    </row>
    <row r="13" ht="30" customHeight="1" spans="1:15">
      <c r="A13" s="163">
        <v>12</v>
      </c>
      <c r="B13" s="162"/>
      <c r="C13" s="100" t="s">
        <v>64</v>
      </c>
      <c r="D13" s="100" t="s">
        <v>65</v>
      </c>
      <c r="E13" s="100" t="s">
        <v>29</v>
      </c>
      <c r="F13" s="159">
        <v>60</v>
      </c>
      <c r="G13" s="160">
        <v>3000</v>
      </c>
      <c r="H13" s="158"/>
      <c r="I13" s="160"/>
      <c r="J13" s="169" t="e">
        <f t="shared" si="3"/>
        <v>#REF!</v>
      </c>
      <c r="K13" s="170" t="e">
        <f t="shared" si="0"/>
        <v>#REF!</v>
      </c>
      <c r="L13" s="169" t="e">
        <f t="shared" si="2"/>
        <v>#REF!</v>
      </c>
      <c r="M13" s="170" t="e">
        <f t="shared" si="1"/>
        <v>#REF!</v>
      </c>
      <c r="N13" s="100" t="s">
        <v>66</v>
      </c>
      <c r="O13" s="100"/>
    </row>
    <row r="14" ht="30" customHeight="1" spans="1:15">
      <c r="A14" s="164"/>
      <c r="B14" s="164"/>
      <c r="C14" s="100" t="s">
        <v>67</v>
      </c>
      <c r="D14" s="100" t="s">
        <v>65</v>
      </c>
      <c r="E14" s="100" t="s">
        <v>29</v>
      </c>
      <c r="F14" s="159">
        <v>30</v>
      </c>
      <c r="G14" s="160">
        <v>1000</v>
      </c>
      <c r="H14" s="158"/>
      <c r="I14" s="160"/>
      <c r="J14" s="169" t="e">
        <f t="shared" si="3"/>
        <v>#REF!</v>
      </c>
      <c r="K14" s="170" t="e">
        <f t="shared" si="0"/>
        <v>#REF!</v>
      </c>
      <c r="L14" s="169" t="e">
        <f t="shared" si="2"/>
        <v>#REF!</v>
      </c>
      <c r="M14" s="170" t="e">
        <f t="shared" si="1"/>
        <v>#REF!</v>
      </c>
      <c r="N14" s="100" t="s">
        <v>68</v>
      </c>
      <c r="O14" s="100"/>
    </row>
    <row r="15" ht="43" customHeight="1" spans="1:15">
      <c r="A15" s="100">
        <v>13</v>
      </c>
      <c r="B15" s="100" t="s">
        <v>69</v>
      </c>
      <c r="C15" s="100" t="s">
        <v>70</v>
      </c>
      <c r="D15" s="100" t="s">
        <v>71</v>
      </c>
      <c r="E15" s="100" t="s">
        <v>29</v>
      </c>
      <c r="F15" s="159">
        <v>10</v>
      </c>
      <c r="G15" s="160">
        <f>100+100+500+500+200+300</f>
        <v>1700</v>
      </c>
      <c r="H15" s="158"/>
      <c r="I15" s="171"/>
      <c r="J15" s="169" t="e">
        <f t="shared" si="3"/>
        <v>#REF!</v>
      </c>
      <c r="K15" s="170" t="e">
        <f t="shared" si="0"/>
        <v>#REF!</v>
      </c>
      <c r="L15" s="169" t="e">
        <f t="shared" si="2"/>
        <v>#REF!</v>
      </c>
      <c r="M15" s="170" t="e">
        <f t="shared" si="1"/>
        <v>#REF!</v>
      </c>
      <c r="N15" s="100" t="s">
        <v>72</v>
      </c>
      <c r="O15" s="100"/>
    </row>
    <row r="16" hidden="1" spans="1:15">
      <c r="A16" s="165"/>
      <c r="B16" s="165"/>
      <c r="C16" s="165"/>
      <c r="D16" s="165"/>
      <c r="E16" s="165"/>
      <c r="F16" s="165"/>
      <c r="G16" s="165"/>
      <c r="H16" s="158"/>
      <c r="I16" s="160"/>
      <c r="J16" s="169" t="e">
        <f t="shared" si="3"/>
        <v>#REF!</v>
      </c>
      <c r="K16" s="170" t="e">
        <f t="shared" si="0"/>
        <v>#REF!</v>
      </c>
      <c r="L16" s="169" t="e">
        <f t="shared" si="2"/>
        <v>#REF!</v>
      </c>
      <c r="M16" s="170" t="e">
        <f t="shared" si="1"/>
        <v>#REF!</v>
      </c>
      <c r="N16" s="165"/>
      <c r="O16" s="165"/>
    </row>
    <row r="17" hidden="1" spans="1:15">
      <c r="A17" s="165"/>
      <c r="B17" s="165"/>
      <c r="C17" s="165"/>
      <c r="D17" s="165"/>
      <c r="E17" s="165"/>
      <c r="F17" s="165"/>
      <c r="G17" s="165"/>
      <c r="H17" s="158"/>
      <c r="I17" s="160"/>
      <c r="J17" s="169" t="e">
        <f t="shared" si="3"/>
        <v>#REF!</v>
      </c>
      <c r="K17" s="170" t="e">
        <f t="shared" si="0"/>
        <v>#REF!</v>
      </c>
      <c r="L17" s="169" t="e">
        <f t="shared" si="2"/>
        <v>#REF!</v>
      </c>
      <c r="M17" s="170" t="e">
        <f t="shared" si="1"/>
        <v>#REF!</v>
      </c>
      <c r="N17" s="165"/>
      <c r="O17" s="165"/>
    </row>
    <row r="18" ht="48" spans="1:15">
      <c r="A18" s="100">
        <v>14</v>
      </c>
      <c r="B18" s="100" t="s">
        <v>73</v>
      </c>
      <c r="C18" s="100" t="s">
        <v>54</v>
      </c>
      <c r="D18" s="100" t="s">
        <v>74</v>
      </c>
      <c r="E18" s="100" t="s">
        <v>29</v>
      </c>
      <c r="F18" s="159">
        <v>120</v>
      </c>
      <c r="G18" s="160">
        <v>50</v>
      </c>
      <c r="H18" s="158"/>
      <c r="I18" s="160"/>
      <c r="J18" s="169" t="e">
        <f t="shared" si="3"/>
        <v>#REF!</v>
      </c>
      <c r="K18" s="170" t="e">
        <f t="shared" si="0"/>
        <v>#REF!</v>
      </c>
      <c r="L18" s="169" t="e">
        <f t="shared" si="2"/>
        <v>#REF!</v>
      </c>
      <c r="M18" s="170" t="e">
        <f t="shared" si="1"/>
        <v>#REF!</v>
      </c>
      <c r="N18" s="100" t="s">
        <v>75</v>
      </c>
      <c r="O18" s="100"/>
    </row>
    <row r="19" ht="24" spans="1:15">
      <c r="A19" s="100">
        <v>15</v>
      </c>
      <c r="B19" s="100" t="s">
        <v>76</v>
      </c>
      <c r="C19" s="100" t="s">
        <v>77</v>
      </c>
      <c r="D19" s="100" t="s">
        <v>78</v>
      </c>
      <c r="E19" s="100" t="s">
        <v>29</v>
      </c>
      <c r="F19" s="159">
        <v>800</v>
      </c>
      <c r="G19" s="160">
        <f>150+50+50+50+80</f>
        <v>380</v>
      </c>
      <c r="H19" s="158"/>
      <c r="I19" s="160"/>
      <c r="J19" s="169" t="e">
        <f t="shared" si="3"/>
        <v>#REF!</v>
      </c>
      <c r="K19" s="170" t="e">
        <f t="shared" si="0"/>
        <v>#REF!</v>
      </c>
      <c r="L19" s="169" t="e">
        <f t="shared" si="2"/>
        <v>#REF!</v>
      </c>
      <c r="M19" s="170" t="e">
        <f t="shared" si="1"/>
        <v>#REF!</v>
      </c>
      <c r="N19" s="100" t="s">
        <v>79</v>
      </c>
      <c r="O19" s="99"/>
    </row>
    <row r="20" ht="24" spans="1:15">
      <c r="A20" s="100">
        <v>16</v>
      </c>
      <c r="B20" s="100" t="s">
        <v>80</v>
      </c>
      <c r="C20" s="100" t="s">
        <v>81</v>
      </c>
      <c r="D20" s="100" t="s">
        <v>78</v>
      </c>
      <c r="E20" s="100" t="s">
        <v>29</v>
      </c>
      <c r="F20" s="159">
        <v>400</v>
      </c>
      <c r="G20" s="160">
        <f>150+50</f>
        <v>200</v>
      </c>
      <c r="H20" s="158"/>
      <c r="I20" s="160"/>
      <c r="J20" s="169" t="e">
        <f t="shared" si="3"/>
        <v>#REF!</v>
      </c>
      <c r="K20" s="170" t="e">
        <f t="shared" si="0"/>
        <v>#REF!</v>
      </c>
      <c r="L20" s="169" t="e">
        <f t="shared" si="2"/>
        <v>#REF!</v>
      </c>
      <c r="M20" s="170" t="e">
        <f t="shared" si="1"/>
        <v>#REF!</v>
      </c>
      <c r="N20" s="100" t="s">
        <v>82</v>
      </c>
      <c r="O20" s="99"/>
    </row>
    <row r="21" ht="72" spans="1:15">
      <c r="A21" s="100">
        <v>17</v>
      </c>
      <c r="B21" s="100" t="s">
        <v>83</v>
      </c>
      <c r="C21" s="100" t="s">
        <v>84</v>
      </c>
      <c r="D21" s="100" t="s">
        <v>85</v>
      </c>
      <c r="E21" s="100" t="s">
        <v>29</v>
      </c>
      <c r="F21" s="159">
        <v>150</v>
      </c>
      <c r="G21" s="160">
        <f>100+50</f>
        <v>150</v>
      </c>
      <c r="H21" s="158"/>
      <c r="I21" s="160"/>
      <c r="J21" s="169" t="e">
        <f t="shared" si="3"/>
        <v>#REF!</v>
      </c>
      <c r="K21" s="170" t="e">
        <f t="shared" si="0"/>
        <v>#REF!</v>
      </c>
      <c r="L21" s="169" t="e">
        <f t="shared" si="2"/>
        <v>#REF!</v>
      </c>
      <c r="M21" s="170" t="e">
        <f t="shared" si="1"/>
        <v>#REF!</v>
      </c>
      <c r="N21" s="100" t="s">
        <v>86</v>
      </c>
      <c r="O21" s="100"/>
    </row>
    <row r="22" ht="36" spans="1:15">
      <c r="A22" s="100">
        <v>18</v>
      </c>
      <c r="B22" s="100" t="s">
        <v>87</v>
      </c>
      <c r="C22" s="100" t="s">
        <v>88</v>
      </c>
      <c r="D22" s="100" t="s">
        <v>89</v>
      </c>
      <c r="E22" s="100" t="s">
        <v>29</v>
      </c>
      <c r="F22" s="159">
        <v>250</v>
      </c>
      <c r="G22" s="160">
        <v>100</v>
      </c>
      <c r="H22" s="158"/>
      <c r="I22" s="160"/>
      <c r="J22" s="169" t="e">
        <f t="shared" si="3"/>
        <v>#REF!</v>
      </c>
      <c r="K22" s="170" t="e">
        <f t="shared" si="0"/>
        <v>#REF!</v>
      </c>
      <c r="L22" s="169" t="e">
        <f t="shared" si="2"/>
        <v>#REF!</v>
      </c>
      <c r="M22" s="170" t="e">
        <f t="shared" si="1"/>
        <v>#REF!</v>
      </c>
      <c r="N22" s="100" t="s">
        <v>90</v>
      </c>
      <c r="O22" s="100"/>
    </row>
    <row r="23" ht="27" customHeight="1" spans="1:15">
      <c r="A23" s="100">
        <v>19</v>
      </c>
      <c r="B23" s="165"/>
      <c r="C23" s="100" t="s">
        <v>91</v>
      </c>
      <c r="D23" s="100" t="s">
        <v>92</v>
      </c>
      <c r="E23" s="100" t="s">
        <v>29</v>
      </c>
      <c r="F23" s="159">
        <v>50</v>
      </c>
      <c r="G23" s="160">
        <v>500</v>
      </c>
      <c r="H23" s="158"/>
      <c r="I23" s="160"/>
      <c r="J23" s="169" t="e">
        <f t="shared" si="3"/>
        <v>#REF!</v>
      </c>
      <c r="K23" s="170" t="e">
        <f t="shared" si="0"/>
        <v>#REF!</v>
      </c>
      <c r="L23" s="169" t="e">
        <f t="shared" si="2"/>
        <v>#REF!</v>
      </c>
      <c r="M23" s="170" t="e">
        <f t="shared" si="1"/>
        <v>#REF!</v>
      </c>
      <c r="N23" s="100" t="s">
        <v>93</v>
      </c>
      <c r="O23" s="100"/>
    </row>
    <row r="24" ht="24" spans="1:15">
      <c r="A24" s="100">
        <v>20</v>
      </c>
      <c r="B24" s="100" t="s">
        <v>94</v>
      </c>
      <c r="C24" s="100" t="s">
        <v>95</v>
      </c>
      <c r="D24" s="100" t="s">
        <v>96</v>
      </c>
      <c r="E24" s="100" t="s">
        <v>29</v>
      </c>
      <c r="F24" s="159">
        <v>15</v>
      </c>
      <c r="G24" s="160">
        <v>150</v>
      </c>
      <c r="H24" s="158"/>
      <c r="I24" s="160"/>
      <c r="J24" s="169" t="e">
        <f t="shared" si="3"/>
        <v>#REF!</v>
      </c>
      <c r="K24" s="170" t="e">
        <f t="shared" si="0"/>
        <v>#REF!</v>
      </c>
      <c r="L24" s="169" t="e">
        <f t="shared" si="2"/>
        <v>#REF!</v>
      </c>
      <c r="M24" s="170" t="e">
        <f t="shared" si="1"/>
        <v>#REF!</v>
      </c>
      <c r="N24" s="100" t="s">
        <v>97</v>
      </c>
      <c r="O24" s="100"/>
    </row>
    <row r="25" ht="25" customHeight="1" spans="1:15">
      <c r="A25" s="100">
        <v>21</v>
      </c>
      <c r="B25" s="100" t="s">
        <v>94</v>
      </c>
      <c r="C25" s="100" t="s">
        <v>98</v>
      </c>
      <c r="D25" s="100" t="s">
        <v>99</v>
      </c>
      <c r="E25" s="100" t="s">
        <v>29</v>
      </c>
      <c r="F25" s="159">
        <v>15</v>
      </c>
      <c r="G25" s="166">
        <v>200</v>
      </c>
      <c r="H25" s="158"/>
      <c r="I25" s="160"/>
      <c r="J25" s="169" t="e">
        <f t="shared" si="3"/>
        <v>#REF!</v>
      </c>
      <c r="K25" s="170" t="e">
        <f t="shared" si="0"/>
        <v>#REF!</v>
      </c>
      <c r="L25" s="169" t="e">
        <f t="shared" si="2"/>
        <v>#REF!</v>
      </c>
      <c r="M25" s="170" t="e">
        <f t="shared" si="1"/>
        <v>#REF!</v>
      </c>
      <c r="N25" s="100" t="s">
        <v>100</v>
      </c>
      <c r="O25" s="99"/>
    </row>
    <row r="26" ht="24" spans="1:15">
      <c r="A26" s="100">
        <v>22</v>
      </c>
      <c r="B26" s="100" t="s">
        <v>101</v>
      </c>
      <c r="C26" s="100" t="s">
        <v>95</v>
      </c>
      <c r="D26" s="100" t="s">
        <v>71</v>
      </c>
      <c r="E26" s="100" t="s">
        <v>29</v>
      </c>
      <c r="F26" s="159">
        <v>18</v>
      </c>
      <c r="G26" s="160">
        <v>500</v>
      </c>
      <c r="H26" s="158"/>
      <c r="I26" s="160"/>
      <c r="J26" s="169" t="e">
        <f t="shared" si="3"/>
        <v>#REF!</v>
      </c>
      <c r="K26" s="170" t="e">
        <f t="shared" si="0"/>
        <v>#REF!</v>
      </c>
      <c r="L26" s="169" t="e">
        <f t="shared" si="2"/>
        <v>#REF!</v>
      </c>
      <c r="M26" s="170" t="e">
        <f t="shared" si="1"/>
        <v>#REF!</v>
      </c>
      <c r="N26" s="100" t="s">
        <v>102</v>
      </c>
      <c r="O26" s="100"/>
    </row>
    <row r="27" ht="48" spans="1:16">
      <c r="A27" s="100">
        <v>23</v>
      </c>
      <c r="B27" s="100" t="s">
        <v>103</v>
      </c>
      <c r="C27" s="100" t="s">
        <v>104</v>
      </c>
      <c r="D27" s="100" t="s">
        <v>105</v>
      </c>
      <c r="E27" s="100" t="s">
        <v>29</v>
      </c>
      <c r="F27" s="159">
        <v>10</v>
      </c>
      <c r="G27" s="160">
        <f>300+300+300</f>
        <v>900</v>
      </c>
      <c r="H27" s="158"/>
      <c r="I27" s="160"/>
      <c r="J27" s="169" t="e">
        <f t="shared" si="3"/>
        <v>#REF!</v>
      </c>
      <c r="K27" s="170" t="e">
        <f t="shared" si="0"/>
        <v>#REF!</v>
      </c>
      <c r="L27" s="169" t="e">
        <f t="shared" si="2"/>
        <v>#REF!</v>
      </c>
      <c r="M27" s="170" t="e">
        <f t="shared" si="1"/>
        <v>#REF!</v>
      </c>
      <c r="N27" s="100" t="s">
        <v>106</v>
      </c>
      <c r="O27" s="100"/>
      <c r="P27" s="152" t="s">
        <v>107</v>
      </c>
    </row>
    <row r="28" ht="24" spans="1:15">
      <c r="A28" s="100">
        <v>24</v>
      </c>
      <c r="B28" s="100" t="s">
        <v>108</v>
      </c>
      <c r="C28" s="100" t="s">
        <v>109</v>
      </c>
      <c r="D28" s="100" t="s">
        <v>110</v>
      </c>
      <c r="E28" s="100" t="s">
        <v>29</v>
      </c>
      <c r="F28" s="159">
        <v>16</v>
      </c>
      <c r="G28" s="160">
        <f>300+300+300</f>
        <v>900</v>
      </c>
      <c r="H28" s="158"/>
      <c r="I28" s="160"/>
      <c r="J28" s="169" t="e">
        <f t="shared" si="3"/>
        <v>#REF!</v>
      </c>
      <c r="K28" s="170" t="e">
        <f t="shared" si="0"/>
        <v>#REF!</v>
      </c>
      <c r="L28" s="169" t="e">
        <f t="shared" si="2"/>
        <v>#REF!</v>
      </c>
      <c r="M28" s="170" t="e">
        <f t="shared" si="1"/>
        <v>#REF!</v>
      </c>
      <c r="N28" s="160" t="s">
        <v>111</v>
      </c>
      <c r="O28" s="100"/>
    </row>
    <row r="29" ht="24" spans="1:15">
      <c r="A29" s="100">
        <v>25</v>
      </c>
      <c r="B29" s="100" t="s">
        <v>112</v>
      </c>
      <c r="C29" s="100" t="s">
        <v>113</v>
      </c>
      <c r="D29" s="100" t="s">
        <v>114</v>
      </c>
      <c r="E29" s="100" t="s">
        <v>29</v>
      </c>
      <c r="F29" s="159">
        <v>16</v>
      </c>
      <c r="G29" s="160">
        <f>500+300</f>
        <v>800</v>
      </c>
      <c r="H29" s="158"/>
      <c r="I29" s="160"/>
      <c r="J29" s="169" t="e">
        <f t="shared" si="3"/>
        <v>#REF!</v>
      </c>
      <c r="K29" s="170" t="e">
        <f t="shared" si="0"/>
        <v>#REF!</v>
      </c>
      <c r="L29" s="169" t="e">
        <f t="shared" si="2"/>
        <v>#REF!</v>
      </c>
      <c r="M29" s="170" t="e">
        <f t="shared" si="1"/>
        <v>#REF!</v>
      </c>
      <c r="N29" s="100" t="s">
        <v>115</v>
      </c>
      <c r="O29" s="100"/>
    </row>
    <row r="30" ht="24" spans="1:15">
      <c r="A30" s="100">
        <v>26</v>
      </c>
      <c r="B30" s="100" t="s">
        <v>116</v>
      </c>
      <c r="C30" s="100" t="s">
        <v>117</v>
      </c>
      <c r="D30" s="100" t="s">
        <v>118</v>
      </c>
      <c r="E30" s="100" t="s">
        <v>29</v>
      </c>
      <c r="F30" s="159">
        <v>16</v>
      </c>
      <c r="G30" s="160">
        <f>300+200</f>
        <v>500</v>
      </c>
      <c r="H30" s="158"/>
      <c r="I30" s="160"/>
      <c r="J30" s="169" t="e">
        <f t="shared" si="3"/>
        <v>#REF!</v>
      </c>
      <c r="K30" s="170" t="e">
        <f t="shared" si="0"/>
        <v>#REF!</v>
      </c>
      <c r="L30" s="169" t="e">
        <f t="shared" si="2"/>
        <v>#REF!</v>
      </c>
      <c r="M30" s="170" t="e">
        <f t="shared" si="1"/>
        <v>#REF!</v>
      </c>
      <c r="N30" s="100" t="s">
        <v>119</v>
      </c>
      <c r="O30" s="100"/>
    </row>
    <row r="31" ht="24" spans="1:15">
      <c r="A31" s="100">
        <v>27</v>
      </c>
      <c r="B31" s="100" t="s">
        <v>120</v>
      </c>
      <c r="C31" s="100" t="s">
        <v>121</v>
      </c>
      <c r="D31" s="100" t="s">
        <v>122</v>
      </c>
      <c r="E31" s="100" t="s">
        <v>29</v>
      </c>
      <c r="F31" s="159">
        <v>16</v>
      </c>
      <c r="G31" s="160">
        <f>500+100+200+300+500+300+100</f>
        <v>2000</v>
      </c>
      <c r="H31" s="158"/>
      <c r="I31" s="160"/>
      <c r="J31" s="169" t="e">
        <f t="shared" si="3"/>
        <v>#REF!</v>
      </c>
      <c r="K31" s="170" t="e">
        <f t="shared" si="0"/>
        <v>#REF!</v>
      </c>
      <c r="L31" s="169" t="e">
        <f t="shared" si="2"/>
        <v>#REF!</v>
      </c>
      <c r="M31" s="170" t="e">
        <f t="shared" si="1"/>
        <v>#REF!</v>
      </c>
      <c r="N31" s="100" t="s">
        <v>123</v>
      </c>
      <c r="O31" s="99"/>
    </row>
    <row r="32" ht="36" spans="1:15">
      <c r="A32" s="100">
        <v>28</v>
      </c>
      <c r="B32" s="100" t="s">
        <v>124</v>
      </c>
      <c r="C32" s="100" t="s">
        <v>125</v>
      </c>
      <c r="D32" s="100" t="s">
        <v>122</v>
      </c>
      <c r="E32" s="100" t="s">
        <v>29</v>
      </c>
      <c r="F32" s="159">
        <v>16</v>
      </c>
      <c r="G32" s="160">
        <f>500+200+300+300+500+100</f>
        <v>1900</v>
      </c>
      <c r="H32" s="158"/>
      <c r="I32" s="160"/>
      <c r="J32" s="169" t="e">
        <f t="shared" si="3"/>
        <v>#REF!</v>
      </c>
      <c r="K32" s="170" t="e">
        <f t="shared" si="0"/>
        <v>#REF!</v>
      </c>
      <c r="L32" s="169" t="e">
        <f t="shared" si="2"/>
        <v>#REF!</v>
      </c>
      <c r="M32" s="170" t="e">
        <f t="shared" si="1"/>
        <v>#REF!</v>
      </c>
      <c r="N32" s="100" t="s">
        <v>126</v>
      </c>
      <c r="O32" s="99"/>
    </row>
    <row r="33" ht="24" spans="1:15">
      <c r="A33" s="100">
        <v>29</v>
      </c>
      <c r="B33" s="100" t="s">
        <v>127</v>
      </c>
      <c r="C33" s="100" t="s">
        <v>128</v>
      </c>
      <c r="D33" s="100" t="s">
        <v>129</v>
      </c>
      <c r="E33" s="100" t="s">
        <v>29</v>
      </c>
      <c r="F33" s="159">
        <v>16</v>
      </c>
      <c r="G33" s="160">
        <f>100+300+300+700</f>
        <v>1400</v>
      </c>
      <c r="H33" s="158"/>
      <c r="I33" s="160"/>
      <c r="J33" s="169" t="e">
        <f t="shared" si="3"/>
        <v>#REF!</v>
      </c>
      <c r="K33" s="170" t="e">
        <f t="shared" si="0"/>
        <v>#REF!</v>
      </c>
      <c r="L33" s="169" t="e">
        <f t="shared" si="2"/>
        <v>#REF!</v>
      </c>
      <c r="M33" s="170" t="e">
        <f t="shared" si="1"/>
        <v>#REF!</v>
      </c>
      <c r="N33" s="100" t="s">
        <v>130</v>
      </c>
      <c r="O33" s="100"/>
    </row>
    <row r="34" ht="24" spans="1:15">
      <c r="A34" s="100">
        <v>30</v>
      </c>
      <c r="B34" s="100" t="s">
        <v>131</v>
      </c>
      <c r="C34" s="100" t="s">
        <v>132</v>
      </c>
      <c r="D34" s="100" t="s">
        <v>133</v>
      </c>
      <c r="E34" s="100" t="s">
        <v>29</v>
      </c>
      <c r="F34" s="159">
        <v>8</v>
      </c>
      <c r="G34" s="160">
        <f>500+500+400+400</f>
        <v>1800</v>
      </c>
      <c r="H34" s="158"/>
      <c r="I34" s="160"/>
      <c r="J34" s="169" t="e">
        <f t="shared" si="3"/>
        <v>#REF!</v>
      </c>
      <c r="K34" s="170" t="e">
        <f t="shared" si="0"/>
        <v>#REF!</v>
      </c>
      <c r="L34" s="169" t="e">
        <f t="shared" si="2"/>
        <v>#REF!</v>
      </c>
      <c r="M34" s="170" t="e">
        <f t="shared" si="1"/>
        <v>#REF!</v>
      </c>
      <c r="N34" s="100" t="s">
        <v>134</v>
      </c>
      <c r="O34" s="100"/>
    </row>
    <row r="35" ht="24" spans="1:15">
      <c r="A35" s="100">
        <v>31</v>
      </c>
      <c r="B35" s="100" t="s">
        <v>135</v>
      </c>
      <c r="C35" s="100" t="s">
        <v>136</v>
      </c>
      <c r="D35" s="100" t="s">
        <v>133</v>
      </c>
      <c r="E35" s="100" t="s">
        <v>29</v>
      </c>
      <c r="F35" s="159">
        <v>8</v>
      </c>
      <c r="G35" s="160">
        <f>500+500+400+400+500</f>
        <v>2300</v>
      </c>
      <c r="H35" s="158"/>
      <c r="I35" s="160"/>
      <c r="J35" s="169" t="e">
        <f t="shared" si="3"/>
        <v>#REF!</v>
      </c>
      <c r="K35" s="170" t="e">
        <f t="shared" si="0"/>
        <v>#REF!</v>
      </c>
      <c r="L35" s="169" t="e">
        <f t="shared" si="2"/>
        <v>#REF!</v>
      </c>
      <c r="M35" s="170" t="e">
        <f t="shared" si="1"/>
        <v>#REF!</v>
      </c>
      <c r="N35" s="100" t="s">
        <v>137</v>
      </c>
      <c r="O35" s="100"/>
    </row>
    <row r="36" ht="24" spans="1:15">
      <c r="A36" s="100">
        <v>32</v>
      </c>
      <c r="B36" s="100" t="s">
        <v>138</v>
      </c>
      <c r="C36" s="100" t="s">
        <v>139</v>
      </c>
      <c r="D36" s="100" t="s">
        <v>133</v>
      </c>
      <c r="E36" s="100" t="s">
        <v>29</v>
      </c>
      <c r="F36" s="159">
        <v>8</v>
      </c>
      <c r="G36" s="160">
        <f>500+500+400+400+500+500</f>
        <v>2800</v>
      </c>
      <c r="H36" s="158"/>
      <c r="I36" s="160"/>
      <c r="J36" s="169" t="e">
        <f t="shared" si="3"/>
        <v>#REF!</v>
      </c>
      <c r="K36" s="170" t="e">
        <f t="shared" ref="K36:K67" si="4">F36*G36*J36</f>
        <v>#REF!</v>
      </c>
      <c r="L36" s="169" t="e">
        <f t="shared" si="2"/>
        <v>#REF!</v>
      </c>
      <c r="M36" s="170" t="e">
        <f t="shared" ref="M36:M67" si="5">F36*G36*L36</f>
        <v>#REF!</v>
      </c>
      <c r="N36" s="100" t="s">
        <v>140</v>
      </c>
      <c r="O36" s="100"/>
    </row>
    <row r="37" ht="24" spans="1:15">
      <c r="A37" s="100">
        <v>33</v>
      </c>
      <c r="B37" s="100" t="s">
        <v>141</v>
      </c>
      <c r="C37" s="100" t="s">
        <v>142</v>
      </c>
      <c r="D37" s="100" t="s">
        <v>143</v>
      </c>
      <c r="E37" s="159" t="s">
        <v>29</v>
      </c>
      <c r="F37" s="159">
        <v>8</v>
      </c>
      <c r="G37" s="100">
        <f>200+200+100</f>
        <v>500</v>
      </c>
      <c r="H37" s="158"/>
      <c r="I37" s="160"/>
      <c r="J37" s="169" t="e">
        <f t="shared" si="3"/>
        <v>#REF!</v>
      </c>
      <c r="K37" s="170" t="e">
        <f t="shared" si="4"/>
        <v>#REF!</v>
      </c>
      <c r="L37" s="169" t="e">
        <f t="shared" si="2"/>
        <v>#REF!</v>
      </c>
      <c r="M37" s="170" t="e">
        <f t="shared" si="5"/>
        <v>#REF!</v>
      </c>
      <c r="N37" s="100" t="s">
        <v>144</v>
      </c>
      <c r="O37" s="100"/>
    </row>
    <row r="38" ht="48" spans="1:15">
      <c r="A38" s="100">
        <v>34</v>
      </c>
      <c r="B38" s="167" t="s">
        <v>145</v>
      </c>
      <c r="C38" s="100" t="s">
        <v>146</v>
      </c>
      <c r="D38" s="100" t="s">
        <v>147</v>
      </c>
      <c r="E38" s="159" t="s">
        <v>29</v>
      </c>
      <c r="F38" s="159">
        <v>16</v>
      </c>
      <c r="G38" s="100">
        <f>100+200+200+500</f>
        <v>1000</v>
      </c>
      <c r="H38" s="158"/>
      <c r="I38" s="160"/>
      <c r="J38" s="169" t="e">
        <f t="shared" si="3"/>
        <v>#REF!</v>
      </c>
      <c r="K38" s="170" t="e">
        <f t="shared" si="4"/>
        <v>#REF!</v>
      </c>
      <c r="L38" s="169" t="e">
        <f t="shared" ref="L38:L69" si="6">L37</f>
        <v>#REF!</v>
      </c>
      <c r="M38" s="170" t="e">
        <f t="shared" si="5"/>
        <v>#REF!</v>
      </c>
      <c r="N38" s="100" t="s">
        <v>148</v>
      </c>
      <c r="O38" s="100"/>
    </row>
    <row r="39" ht="24" spans="1:15">
      <c r="A39" s="100">
        <v>35</v>
      </c>
      <c r="B39" s="100" t="s">
        <v>149</v>
      </c>
      <c r="C39" s="100" t="s">
        <v>150</v>
      </c>
      <c r="D39" s="100" t="s">
        <v>99</v>
      </c>
      <c r="E39" s="100" t="s">
        <v>29</v>
      </c>
      <c r="F39" s="159">
        <v>16</v>
      </c>
      <c r="G39" s="160">
        <f>300+400+200+300</f>
        <v>1200</v>
      </c>
      <c r="H39" s="158"/>
      <c r="I39" s="160"/>
      <c r="J39" s="169" t="e">
        <f t="shared" si="3"/>
        <v>#REF!</v>
      </c>
      <c r="K39" s="170" t="e">
        <f t="shared" si="4"/>
        <v>#REF!</v>
      </c>
      <c r="L39" s="169" t="e">
        <f t="shared" si="6"/>
        <v>#REF!</v>
      </c>
      <c r="M39" s="170" t="e">
        <f t="shared" si="5"/>
        <v>#REF!</v>
      </c>
      <c r="N39" s="100" t="s">
        <v>151</v>
      </c>
      <c r="O39" s="100"/>
    </row>
    <row r="40" ht="48" spans="1:20">
      <c r="A40" s="100">
        <v>36</v>
      </c>
      <c r="B40" s="100" t="s">
        <v>152</v>
      </c>
      <c r="C40" s="100" t="s">
        <v>153</v>
      </c>
      <c r="D40" s="100" t="s">
        <v>154</v>
      </c>
      <c r="E40" s="168" t="s">
        <v>29</v>
      </c>
      <c r="F40" s="159">
        <v>10</v>
      </c>
      <c r="G40" s="160">
        <f>500+800</f>
        <v>1300</v>
      </c>
      <c r="H40" s="158"/>
      <c r="I40" s="160"/>
      <c r="J40" s="169" t="e">
        <f t="shared" ref="J40:J71" si="7">J39</f>
        <v>#REF!</v>
      </c>
      <c r="K40" s="170" t="e">
        <f t="shared" si="4"/>
        <v>#REF!</v>
      </c>
      <c r="L40" s="169" t="e">
        <f t="shared" si="6"/>
        <v>#REF!</v>
      </c>
      <c r="M40" s="170" t="e">
        <f t="shared" si="5"/>
        <v>#REF!</v>
      </c>
      <c r="N40" s="100" t="s">
        <v>155</v>
      </c>
      <c r="O40" s="100"/>
      <c r="R40" s="152">
        <v>100</v>
      </c>
      <c r="T40" s="152">
        <v>200</v>
      </c>
    </row>
    <row r="41" ht="28" customHeight="1" spans="1:20">
      <c r="A41" s="100">
        <v>37</v>
      </c>
      <c r="B41" s="100" t="s">
        <v>156</v>
      </c>
      <c r="C41" s="100" t="s">
        <v>157</v>
      </c>
      <c r="D41" s="100" t="s">
        <v>99</v>
      </c>
      <c r="E41" s="100" t="s">
        <v>29</v>
      </c>
      <c r="F41" s="159">
        <v>16</v>
      </c>
      <c r="G41" s="160">
        <f>500+300+300</f>
        <v>1100</v>
      </c>
      <c r="H41" s="158"/>
      <c r="I41" s="160"/>
      <c r="J41" s="169" t="e">
        <f t="shared" si="7"/>
        <v>#REF!</v>
      </c>
      <c r="K41" s="170" t="e">
        <f t="shared" si="4"/>
        <v>#REF!</v>
      </c>
      <c r="L41" s="169" t="e">
        <f t="shared" si="6"/>
        <v>#REF!</v>
      </c>
      <c r="M41" s="170" t="e">
        <f t="shared" si="5"/>
        <v>#REF!</v>
      </c>
      <c r="N41" s="100" t="s">
        <v>158</v>
      </c>
      <c r="O41" s="100"/>
      <c r="T41" s="152">
        <v>200</v>
      </c>
    </row>
    <row r="42" ht="36" spans="1:20">
      <c r="A42" s="100">
        <v>38</v>
      </c>
      <c r="B42" s="100" t="s">
        <v>159</v>
      </c>
      <c r="C42" s="100" t="s">
        <v>160</v>
      </c>
      <c r="D42" s="100" t="s">
        <v>99</v>
      </c>
      <c r="E42" s="100" t="s">
        <v>29</v>
      </c>
      <c r="F42" s="159">
        <v>10</v>
      </c>
      <c r="G42" s="160">
        <f>200+250+50+100+200+250+100+600+500</f>
        <v>2250</v>
      </c>
      <c r="H42" s="158"/>
      <c r="I42" s="160"/>
      <c r="J42" s="169" t="e">
        <f t="shared" si="7"/>
        <v>#REF!</v>
      </c>
      <c r="K42" s="170" t="e">
        <f t="shared" si="4"/>
        <v>#REF!</v>
      </c>
      <c r="L42" s="169" t="e">
        <f t="shared" si="6"/>
        <v>#REF!</v>
      </c>
      <c r="M42" s="170" t="e">
        <f t="shared" si="5"/>
        <v>#REF!</v>
      </c>
      <c r="N42" s="100" t="s">
        <v>161</v>
      </c>
      <c r="O42" s="100"/>
      <c r="T42" s="152">
        <v>250</v>
      </c>
    </row>
    <row r="43" ht="24" spans="1:20">
      <c r="A43" s="100">
        <v>39</v>
      </c>
      <c r="B43" s="100" t="s">
        <v>162</v>
      </c>
      <c r="C43" s="100" t="s">
        <v>163</v>
      </c>
      <c r="D43" s="100" t="s">
        <v>99</v>
      </c>
      <c r="E43" s="100" t="s">
        <v>29</v>
      </c>
      <c r="F43" s="159">
        <v>10</v>
      </c>
      <c r="G43" s="160">
        <f>100+100+200+200+200+500</f>
        <v>1300</v>
      </c>
      <c r="H43" s="158"/>
      <c r="I43" s="160"/>
      <c r="J43" s="169" t="e">
        <f t="shared" si="7"/>
        <v>#REF!</v>
      </c>
      <c r="K43" s="170" t="e">
        <f t="shared" si="4"/>
        <v>#REF!</v>
      </c>
      <c r="L43" s="169" t="e">
        <f t="shared" si="6"/>
        <v>#REF!</v>
      </c>
      <c r="M43" s="170" t="e">
        <f t="shared" si="5"/>
        <v>#REF!</v>
      </c>
      <c r="N43" s="100" t="s">
        <v>164</v>
      </c>
      <c r="O43" s="100"/>
      <c r="Q43" s="152">
        <v>100</v>
      </c>
      <c r="T43" s="152">
        <v>100</v>
      </c>
    </row>
    <row r="44" ht="36" spans="1:20">
      <c r="A44" s="100">
        <v>40</v>
      </c>
      <c r="B44" s="100" t="s">
        <v>165</v>
      </c>
      <c r="C44" s="100" t="s">
        <v>166</v>
      </c>
      <c r="D44" s="100" t="s">
        <v>99</v>
      </c>
      <c r="E44" s="100" t="s">
        <v>29</v>
      </c>
      <c r="F44" s="159">
        <v>1</v>
      </c>
      <c r="G44" s="166">
        <f>100+100+250+200+250+200+200+500+50</f>
        <v>1850</v>
      </c>
      <c r="H44" s="158"/>
      <c r="I44" s="160"/>
      <c r="J44" s="169" t="e">
        <f t="shared" si="7"/>
        <v>#REF!</v>
      </c>
      <c r="K44" s="170" t="e">
        <f t="shared" si="4"/>
        <v>#REF!</v>
      </c>
      <c r="L44" s="169" t="e">
        <f t="shared" si="6"/>
        <v>#REF!</v>
      </c>
      <c r="M44" s="170" t="e">
        <f t="shared" si="5"/>
        <v>#REF!</v>
      </c>
      <c r="N44" s="100" t="s">
        <v>167</v>
      </c>
      <c r="O44" s="100"/>
      <c r="Q44" s="152">
        <v>150</v>
      </c>
      <c r="T44" s="152">
        <v>50</v>
      </c>
    </row>
    <row r="45" ht="24" spans="1:20">
      <c r="A45" s="100">
        <v>41</v>
      </c>
      <c r="B45" s="100" t="s">
        <v>168</v>
      </c>
      <c r="C45" s="100" t="s">
        <v>169</v>
      </c>
      <c r="D45" s="100" t="s">
        <v>99</v>
      </c>
      <c r="E45" s="100" t="s">
        <v>29</v>
      </c>
      <c r="F45" s="159">
        <v>6</v>
      </c>
      <c r="G45" s="166">
        <f>100+200+200</f>
        <v>500</v>
      </c>
      <c r="H45" s="158"/>
      <c r="I45" s="160"/>
      <c r="J45" s="169" t="e">
        <f t="shared" si="7"/>
        <v>#REF!</v>
      </c>
      <c r="K45" s="170" t="e">
        <f t="shared" si="4"/>
        <v>#REF!</v>
      </c>
      <c r="L45" s="169" t="e">
        <f t="shared" si="6"/>
        <v>#REF!</v>
      </c>
      <c r="M45" s="170" t="e">
        <f t="shared" si="5"/>
        <v>#REF!</v>
      </c>
      <c r="N45" s="100" t="s">
        <v>170</v>
      </c>
      <c r="O45" s="100"/>
      <c r="Q45" s="152">
        <v>800</v>
      </c>
      <c r="T45" s="152">
        <v>100</v>
      </c>
    </row>
    <row r="46" ht="24" spans="1:20">
      <c r="A46" s="100">
        <v>42</v>
      </c>
      <c r="B46" s="100" t="s">
        <v>171</v>
      </c>
      <c r="C46" s="100" t="s">
        <v>172</v>
      </c>
      <c r="D46" s="100" t="s">
        <v>99</v>
      </c>
      <c r="E46" s="100" t="s">
        <v>29</v>
      </c>
      <c r="F46" s="159">
        <v>6</v>
      </c>
      <c r="G46" s="166">
        <f>100+50+200+200+200+200</f>
        <v>950</v>
      </c>
      <c r="H46" s="158"/>
      <c r="I46" s="160"/>
      <c r="J46" s="169" t="e">
        <f t="shared" si="7"/>
        <v>#REF!</v>
      </c>
      <c r="K46" s="170" t="e">
        <f t="shared" si="4"/>
        <v>#REF!</v>
      </c>
      <c r="L46" s="169" t="e">
        <f t="shared" si="6"/>
        <v>#REF!</v>
      </c>
      <c r="M46" s="170" t="e">
        <f t="shared" si="5"/>
        <v>#REF!</v>
      </c>
      <c r="N46" s="100" t="s">
        <v>173</v>
      </c>
      <c r="O46" s="100"/>
      <c r="Q46" s="152">
        <v>1500</v>
      </c>
      <c r="T46" s="152">
        <v>250</v>
      </c>
    </row>
    <row r="47" ht="60" spans="1:20">
      <c r="A47" s="100">
        <v>43</v>
      </c>
      <c r="B47" s="100" t="s">
        <v>174</v>
      </c>
      <c r="C47" s="100" t="s">
        <v>175</v>
      </c>
      <c r="D47" s="100" t="s">
        <v>176</v>
      </c>
      <c r="E47" s="100" t="s">
        <v>29</v>
      </c>
      <c r="F47" s="159">
        <v>4</v>
      </c>
      <c r="G47" s="160">
        <f>100+150+100+800+1500+500+500</f>
        <v>3650</v>
      </c>
      <c r="H47" s="158"/>
      <c r="I47" s="160"/>
      <c r="J47" s="169" t="e">
        <f t="shared" si="7"/>
        <v>#REF!</v>
      </c>
      <c r="K47" s="170" t="e">
        <f t="shared" si="4"/>
        <v>#REF!</v>
      </c>
      <c r="L47" s="169" t="e">
        <f t="shared" si="6"/>
        <v>#REF!</v>
      </c>
      <c r="M47" s="170" t="e">
        <f t="shared" si="5"/>
        <v>#REF!</v>
      </c>
      <c r="N47" s="172" t="s">
        <v>177</v>
      </c>
      <c r="O47" s="100"/>
      <c r="Q47" s="152">
        <v>500</v>
      </c>
      <c r="T47" s="152">
        <v>600</v>
      </c>
    </row>
    <row r="48" ht="36" spans="1:20">
      <c r="A48" s="100">
        <v>44</v>
      </c>
      <c r="B48" s="100" t="s">
        <v>178</v>
      </c>
      <c r="C48" s="100" t="s">
        <v>179</v>
      </c>
      <c r="D48" s="100" t="s">
        <v>99</v>
      </c>
      <c r="E48" s="168" t="s">
        <v>29</v>
      </c>
      <c r="F48" s="159">
        <v>6</v>
      </c>
      <c r="G48" s="160">
        <f>100+50+200+250+200+200+200+100</f>
        <v>1300</v>
      </c>
      <c r="H48" s="158"/>
      <c r="I48" s="160"/>
      <c r="J48" s="169" t="e">
        <f t="shared" si="7"/>
        <v>#REF!</v>
      </c>
      <c r="K48" s="170" t="e">
        <f t="shared" si="4"/>
        <v>#REF!</v>
      </c>
      <c r="L48" s="169" t="e">
        <f t="shared" si="6"/>
        <v>#REF!</v>
      </c>
      <c r="M48" s="170" t="e">
        <f t="shared" si="5"/>
        <v>#REF!</v>
      </c>
      <c r="N48" s="100" t="s">
        <v>180</v>
      </c>
      <c r="O48" s="100"/>
      <c r="Q48" s="152">
        <v>100</v>
      </c>
      <c r="T48" s="152">
        <v>500</v>
      </c>
    </row>
    <row r="49" ht="22" customHeight="1" spans="1:15">
      <c r="A49" s="100">
        <v>45</v>
      </c>
      <c r="B49" s="100" t="s">
        <v>181</v>
      </c>
      <c r="C49" s="100" t="s">
        <v>182</v>
      </c>
      <c r="D49" s="100" t="s">
        <v>183</v>
      </c>
      <c r="E49" s="168" t="s">
        <v>29</v>
      </c>
      <c r="F49" s="159">
        <v>2</v>
      </c>
      <c r="G49" s="166">
        <v>1000</v>
      </c>
      <c r="H49" s="158"/>
      <c r="I49" s="160"/>
      <c r="J49" s="169" t="e">
        <f t="shared" si="7"/>
        <v>#REF!</v>
      </c>
      <c r="K49" s="170" t="e">
        <f t="shared" si="4"/>
        <v>#REF!</v>
      </c>
      <c r="L49" s="169" t="e">
        <f t="shared" si="6"/>
        <v>#REF!</v>
      </c>
      <c r="M49" s="170" t="e">
        <f t="shared" si="5"/>
        <v>#REF!</v>
      </c>
      <c r="N49" s="100" t="s">
        <v>184</v>
      </c>
      <c r="O49" s="99"/>
    </row>
    <row r="50" ht="48" spans="1:15">
      <c r="A50" s="100">
        <v>46</v>
      </c>
      <c r="B50" s="100" t="s">
        <v>185</v>
      </c>
      <c r="C50" s="100" t="s">
        <v>186</v>
      </c>
      <c r="D50" s="100" t="s">
        <v>187</v>
      </c>
      <c r="E50" s="100" t="s">
        <v>29</v>
      </c>
      <c r="F50" s="159">
        <v>8</v>
      </c>
      <c r="G50" s="160">
        <f>100+100+100+100</f>
        <v>400</v>
      </c>
      <c r="H50" s="158"/>
      <c r="I50" s="160"/>
      <c r="J50" s="169" t="e">
        <f t="shared" si="7"/>
        <v>#REF!</v>
      </c>
      <c r="K50" s="170" t="e">
        <f t="shared" si="4"/>
        <v>#REF!</v>
      </c>
      <c r="L50" s="169" t="e">
        <f t="shared" si="6"/>
        <v>#REF!</v>
      </c>
      <c r="M50" s="170" t="e">
        <f t="shared" si="5"/>
        <v>#REF!</v>
      </c>
      <c r="N50" s="100" t="s">
        <v>188</v>
      </c>
      <c r="O50" s="100"/>
    </row>
    <row r="51" ht="24" spans="1:15">
      <c r="A51" s="100">
        <v>47</v>
      </c>
      <c r="B51" s="100" t="s">
        <v>189</v>
      </c>
      <c r="C51" s="100" t="s">
        <v>190</v>
      </c>
      <c r="D51" s="100" t="s">
        <v>191</v>
      </c>
      <c r="E51" s="168" t="s">
        <v>29</v>
      </c>
      <c r="F51" s="159">
        <v>8</v>
      </c>
      <c r="G51" s="160">
        <f>200+200+300</f>
        <v>700</v>
      </c>
      <c r="H51" s="158"/>
      <c r="I51" s="160"/>
      <c r="J51" s="169" t="e">
        <f t="shared" si="7"/>
        <v>#REF!</v>
      </c>
      <c r="K51" s="170" t="e">
        <f t="shared" si="4"/>
        <v>#REF!</v>
      </c>
      <c r="L51" s="169" t="e">
        <f t="shared" si="6"/>
        <v>#REF!</v>
      </c>
      <c r="M51" s="170" t="e">
        <f t="shared" si="5"/>
        <v>#REF!</v>
      </c>
      <c r="N51" s="100" t="s">
        <v>192</v>
      </c>
      <c r="O51" s="100"/>
    </row>
    <row r="52" ht="24" spans="1:15">
      <c r="A52" s="100">
        <v>48</v>
      </c>
      <c r="B52" s="100" t="s">
        <v>193</v>
      </c>
      <c r="C52" s="100" t="s">
        <v>194</v>
      </c>
      <c r="D52" s="100" t="s">
        <v>99</v>
      </c>
      <c r="E52" s="168" t="s">
        <v>29</v>
      </c>
      <c r="F52" s="159">
        <v>2</v>
      </c>
      <c r="G52" s="160">
        <f>500+1500+10000</f>
        <v>12000</v>
      </c>
      <c r="H52" s="158"/>
      <c r="I52" s="160"/>
      <c r="J52" s="169" t="e">
        <f t="shared" si="7"/>
        <v>#REF!</v>
      </c>
      <c r="K52" s="170" t="e">
        <f t="shared" si="4"/>
        <v>#REF!</v>
      </c>
      <c r="L52" s="169" t="e">
        <f t="shared" si="6"/>
        <v>#REF!</v>
      </c>
      <c r="M52" s="170" t="e">
        <f t="shared" si="5"/>
        <v>#REF!</v>
      </c>
      <c r="N52" s="100" t="s">
        <v>195</v>
      </c>
      <c r="O52" s="100"/>
    </row>
    <row r="53" ht="36" spans="1:15">
      <c r="A53" s="100">
        <v>49</v>
      </c>
      <c r="B53" s="100" t="s">
        <v>196</v>
      </c>
      <c r="C53" s="100" t="s">
        <v>197</v>
      </c>
      <c r="D53" s="100" t="s">
        <v>198</v>
      </c>
      <c r="E53" s="100" t="s">
        <v>29</v>
      </c>
      <c r="F53" s="159">
        <v>10</v>
      </c>
      <c r="G53" s="160">
        <f>300+300</f>
        <v>600</v>
      </c>
      <c r="H53" s="158"/>
      <c r="I53" s="160"/>
      <c r="J53" s="169" t="e">
        <f t="shared" si="7"/>
        <v>#REF!</v>
      </c>
      <c r="K53" s="170" t="e">
        <f t="shared" si="4"/>
        <v>#REF!</v>
      </c>
      <c r="L53" s="169" t="e">
        <f t="shared" si="6"/>
        <v>#REF!</v>
      </c>
      <c r="M53" s="170" t="e">
        <f t="shared" si="5"/>
        <v>#REF!</v>
      </c>
      <c r="N53" s="100" t="s">
        <v>199</v>
      </c>
      <c r="O53" s="100"/>
    </row>
    <row r="54" ht="36" spans="1:15">
      <c r="A54" s="100">
        <v>50</v>
      </c>
      <c r="B54" s="100" t="s">
        <v>200</v>
      </c>
      <c r="C54" s="100" t="s">
        <v>201</v>
      </c>
      <c r="D54" s="100" t="s">
        <v>99</v>
      </c>
      <c r="E54" s="100" t="s">
        <v>29</v>
      </c>
      <c r="F54" s="159">
        <v>3</v>
      </c>
      <c r="G54" s="160">
        <v>1200</v>
      </c>
      <c r="H54" s="158"/>
      <c r="I54" s="160"/>
      <c r="J54" s="169" t="e">
        <f t="shared" si="7"/>
        <v>#REF!</v>
      </c>
      <c r="K54" s="170" t="e">
        <f t="shared" si="4"/>
        <v>#REF!</v>
      </c>
      <c r="L54" s="169" t="e">
        <f t="shared" si="6"/>
        <v>#REF!</v>
      </c>
      <c r="M54" s="170" t="e">
        <f t="shared" si="5"/>
        <v>#REF!</v>
      </c>
      <c r="N54" s="100" t="s">
        <v>202</v>
      </c>
      <c r="O54" s="100"/>
    </row>
    <row r="55" ht="24" spans="1:15">
      <c r="A55" s="100">
        <v>51</v>
      </c>
      <c r="B55" s="100" t="s">
        <v>203</v>
      </c>
      <c r="C55" s="100" t="s">
        <v>204</v>
      </c>
      <c r="D55" s="100" t="s">
        <v>99</v>
      </c>
      <c r="E55" s="100" t="s">
        <v>29</v>
      </c>
      <c r="F55" s="159">
        <v>3</v>
      </c>
      <c r="G55" s="166">
        <f>1200+500+1000</f>
        <v>2700</v>
      </c>
      <c r="H55" s="158"/>
      <c r="I55" s="160"/>
      <c r="J55" s="169" t="e">
        <f t="shared" si="7"/>
        <v>#REF!</v>
      </c>
      <c r="K55" s="170" t="e">
        <f t="shared" si="4"/>
        <v>#REF!</v>
      </c>
      <c r="L55" s="169" t="e">
        <f t="shared" si="6"/>
        <v>#REF!</v>
      </c>
      <c r="M55" s="170" t="e">
        <f t="shared" si="5"/>
        <v>#REF!</v>
      </c>
      <c r="N55" s="100" t="s">
        <v>205</v>
      </c>
      <c r="O55" s="99"/>
    </row>
    <row r="56" ht="24" spans="1:15">
      <c r="A56" s="100">
        <v>52</v>
      </c>
      <c r="B56" s="100" t="s">
        <v>206</v>
      </c>
      <c r="C56" s="100" t="s">
        <v>207</v>
      </c>
      <c r="D56" s="100" t="s">
        <v>99</v>
      </c>
      <c r="E56" s="100" t="s">
        <v>29</v>
      </c>
      <c r="F56" s="159">
        <v>3</v>
      </c>
      <c r="G56" s="166">
        <f>1200+1000+200*8</f>
        <v>3800</v>
      </c>
      <c r="H56" s="158"/>
      <c r="I56" s="160"/>
      <c r="J56" s="169" t="e">
        <f t="shared" si="7"/>
        <v>#REF!</v>
      </c>
      <c r="K56" s="170" t="e">
        <f t="shared" si="4"/>
        <v>#REF!</v>
      </c>
      <c r="L56" s="169" t="e">
        <f t="shared" si="6"/>
        <v>#REF!</v>
      </c>
      <c r="M56" s="170" t="e">
        <f t="shared" si="5"/>
        <v>#REF!</v>
      </c>
      <c r="N56" s="100" t="s">
        <v>208</v>
      </c>
      <c r="O56" s="99"/>
    </row>
    <row r="57" ht="24" spans="1:15">
      <c r="A57" s="100">
        <v>53</v>
      </c>
      <c r="B57" s="100" t="s">
        <v>209</v>
      </c>
      <c r="C57" s="100" t="s">
        <v>210</v>
      </c>
      <c r="D57" s="100" t="s">
        <v>211</v>
      </c>
      <c r="E57" s="100" t="s">
        <v>29</v>
      </c>
      <c r="F57" s="159">
        <v>3</v>
      </c>
      <c r="G57" s="166">
        <f>300+200+300</f>
        <v>800</v>
      </c>
      <c r="H57" s="158"/>
      <c r="I57" s="160"/>
      <c r="J57" s="169" t="e">
        <f t="shared" si="7"/>
        <v>#REF!</v>
      </c>
      <c r="K57" s="170" t="e">
        <f t="shared" si="4"/>
        <v>#REF!</v>
      </c>
      <c r="L57" s="169" t="e">
        <f t="shared" si="6"/>
        <v>#REF!</v>
      </c>
      <c r="M57" s="170" t="e">
        <f t="shared" si="5"/>
        <v>#REF!</v>
      </c>
      <c r="N57" s="100" t="s">
        <v>212</v>
      </c>
      <c r="O57" s="99"/>
    </row>
    <row r="58" ht="24" spans="1:15">
      <c r="A58" s="100">
        <v>54</v>
      </c>
      <c r="B58" s="100" t="s">
        <v>213</v>
      </c>
      <c r="C58" s="100" t="s">
        <v>214</v>
      </c>
      <c r="D58" s="100" t="s">
        <v>215</v>
      </c>
      <c r="E58" s="100" t="s">
        <v>29</v>
      </c>
      <c r="F58" s="159">
        <v>3</v>
      </c>
      <c r="G58" s="160">
        <v>800</v>
      </c>
      <c r="H58" s="158"/>
      <c r="I58" s="160"/>
      <c r="J58" s="169" t="e">
        <f t="shared" si="7"/>
        <v>#REF!</v>
      </c>
      <c r="K58" s="170" t="e">
        <f t="shared" si="4"/>
        <v>#REF!</v>
      </c>
      <c r="L58" s="169" t="e">
        <f t="shared" si="6"/>
        <v>#REF!</v>
      </c>
      <c r="M58" s="170" t="e">
        <f t="shared" si="5"/>
        <v>#REF!</v>
      </c>
      <c r="N58" s="100" t="s">
        <v>216</v>
      </c>
      <c r="O58" s="99"/>
    </row>
    <row r="59" spans="1:15">
      <c r="A59" s="100">
        <v>55</v>
      </c>
      <c r="B59" s="100" t="s">
        <v>217</v>
      </c>
      <c r="C59" s="100" t="s">
        <v>218</v>
      </c>
      <c r="D59" s="100" t="s">
        <v>99</v>
      </c>
      <c r="E59" s="159" t="s">
        <v>29</v>
      </c>
      <c r="F59" s="159">
        <v>10</v>
      </c>
      <c r="G59" s="160">
        <v>1800</v>
      </c>
      <c r="H59" s="158"/>
      <c r="I59" s="160"/>
      <c r="J59" s="169" t="e">
        <f t="shared" si="7"/>
        <v>#REF!</v>
      </c>
      <c r="K59" s="170" t="e">
        <f t="shared" si="4"/>
        <v>#REF!</v>
      </c>
      <c r="L59" s="169" t="e">
        <f t="shared" si="6"/>
        <v>#REF!</v>
      </c>
      <c r="M59" s="170" t="e">
        <f t="shared" si="5"/>
        <v>#REF!</v>
      </c>
      <c r="N59" s="100" t="s">
        <v>219</v>
      </c>
      <c r="O59" s="99"/>
    </row>
    <row r="60" ht="36" spans="1:15">
      <c r="A60" s="100">
        <v>56</v>
      </c>
      <c r="B60" s="100" t="s">
        <v>220</v>
      </c>
      <c r="C60" s="100" t="s">
        <v>221</v>
      </c>
      <c r="D60" s="100" t="s">
        <v>222</v>
      </c>
      <c r="E60" s="159" t="s">
        <v>29</v>
      </c>
      <c r="F60" s="159">
        <v>4</v>
      </c>
      <c r="G60" s="160">
        <f>1000+1800+1800+900+80</f>
        <v>5580</v>
      </c>
      <c r="H60" s="158"/>
      <c r="I60" s="160"/>
      <c r="J60" s="169" t="e">
        <f t="shared" si="7"/>
        <v>#REF!</v>
      </c>
      <c r="K60" s="170" t="e">
        <f t="shared" si="4"/>
        <v>#REF!</v>
      </c>
      <c r="L60" s="169" t="e">
        <f t="shared" si="6"/>
        <v>#REF!</v>
      </c>
      <c r="M60" s="170" t="e">
        <f t="shared" si="5"/>
        <v>#REF!</v>
      </c>
      <c r="N60" s="100" t="s">
        <v>223</v>
      </c>
      <c r="O60" s="99"/>
    </row>
    <row r="61" ht="24" spans="1:15">
      <c r="A61" s="100">
        <v>57</v>
      </c>
      <c r="B61" s="100" t="s">
        <v>224</v>
      </c>
      <c r="C61" s="100" t="s">
        <v>225</v>
      </c>
      <c r="D61" s="100" t="s">
        <v>78</v>
      </c>
      <c r="E61" s="100" t="s">
        <v>29</v>
      </c>
      <c r="F61" s="159">
        <v>5</v>
      </c>
      <c r="G61" s="160">
        <f>750+500</f>
        <v>1250</v>
      </c>
      <c r="H61" s="158"/>
      <c r="I61" s="160"/>
      <c r="J61" s="169" t="e">
        <f t="shared" si="7"/>
        <v>#REF!</v>
      </c>
      <c r="K61" s="170" t="e">
        <f t="shared" si="4"/>
        <v>#REF!</v>
      </c>
      <c r="L61" s="169" t="e">
        <f t="shared" si="6"/>
        <v>#REF!</v>
      </c>
      <c r="M61" s="170" t="e">
        <f t="shared" si="5"/>
        <v>#REF!</v>
      </c>
      <c r="N61" s="100" t="s">
        <v>226</v>
      </c>
      <c r="O61" s="100"/>
    </row>
    <row r="62" ht="24" spans="1:15">
      <c r="A62" s="100">
        <v>58</v>
      </c>
      <c r="B62" s="100" t="s">
        <v>227</v>
      </c>
      <c r="C62" s="100" t="s">
        <v>228</v>
      </c>
      <c r="D62" s="100" t="s">
        <v>229</v>
      </c>
      <c r="E62" s="100" t="s">
        <v>230</v>
      </c>
      <c r="F62" s="159">
        <v>20</v>
      </c>
      <c r="G62" s="160">
        <v>50</v>
      </c>
      <c r="H62" s="158"/>
      <c r="I62" s="160"/>
      <c r="J62" s="169" t="e">
        <f t="shared" si="7"/>
        <v>#REF!</v>
      </c>
      <c r="K62" s="170" t="e">
        <f t="shared" si="4"/>
        <v>#REF!</v>
      </c>
      <c r="L62" s="169" t="e">
        <f t="shared" si="6"/>
        <v>#REF!</v>
      </c>
      <c r="M62" s="170" t="e">
        <f t="shared" si="5"/>
        <v>#REF!</v>
      </c>
      <c r="N62" s="100" t="s">
        <v>231</v>
      </c>
      <c r="O62" s="100"/>
    </row>
    <row r="63" spans="1:15">
      <c r="A63" s="100">
        <v>59</v>
      </c>
      <c r="B63" s="100" t="s">
        <v>232</v>
      </c>
      <c r="C63" s="100" t="s">
        <v>233</v>
      </c>
      <c r="D63" s="100" t="s">
        <v>234</v>
      </c>
      <c r="E63" s="100" t="s">
        <v>235</v>
      </c>
      <c r="F63" s="159">
        <v>5</v>
      </c>
      <c r="G63" s="160">
        <v>1500</v>
      </c>
      <c r="H63" s="158"/>
      <c r="I63" s="160"/>
      <c r="J63" s="169" t="e">
        <f t="shared" si="7"/>
        <v>#REF!</v>
      </c>
      <c r="K63" s="170" t="e">
        <f t="shared" si="4"/>
        <v>#REF!</v>
      </c>
      <c r="L63" s="169" t="e">
        <f t="shared" si="6"/>
        <v>#REF!</v>
      </c>
      <c r="M63" s="170" t="e">
        <f t="shared" si="5"/>
        <v>#REF!</v>
      </c>
      <c r="N63" s="100" t="s">
        <v>236</v>
      </c>
      <c r="O63" s="100"/>
    </row>
    <row r="64" ht="24" spans="1:15">
      <c r="A64" s="100">
        <v>60</v>
      </c>
      <c r="B64" s="100" t="s">
        <v>237</v>
      </c>
      <c r="C64" s="100" t="s">
        <v>238</v>
      </c>
      <c r="D64" s="100" t="s">
        <v>239</v>
      </c>
      <c r="E64" s="100" t="s">
        <v>240</v>
      </c>
      <c r="F64" s="159">
        <v>2</v>
      </c>
      <c r="G64" s="160">
        <f>1600+1600+800+800</f>
        <v>4800</v>
      </c>
      <c r="H64" s="158"/>
      <c r="I64" s="160"/>
      <c r="J64" s="169" t="e">
        <f t="shared" si="7"/>
        <v>#REF!</v>
      </c>
      <c r="K64" s="170" t="e">
        <f t="shared" si="4"/>
        <v>#REF!</v>
      </c>
      <c r="L64" s="169" t="e">
        <f t="shared" si="6"/>
        <v>#REF!</v>
      </c>
      <c r="M64" s="170" t="e">
        <f t="shared" si="5"/>
        <v>#REF!</v>
      </c>
      <c r="N64" s="100" t="s">
        <v>241</v>
      </c>
      <c r="O64" s="100"/>
    </row>
    <row r="65" ht="24" spans="1:15">
      <c r="A65" s="100">
        <v>61</v>
      </c>
      <c r="B65" s="165"/>
      <c r="C65" s="100" t="s">
        <v>242</v>
      </c>
      <c r="D65" s="165"/>
      <c r="E65" s="100" t="s">
        <v>240</v>
      </c>
      <c r="F65" s="159">
        <v>2</v>
      </c>
      <c r="G65" s="160">
        <f>1600+1600+800</f>
        <v>4000</v>
      </c>
      <c r="H65" s="158"/>
      <c r="I65" s="160"/>
      <c r="J65" s="169" t="e">
        <f t="shared" si="7"/>
        <v>#REF!</v>
      </c>
      <c r="K65" s="170" t="e">
        <f t="shared" si="4"/>
        <v>#REF!</v>
      </c>
      <c r="L65" s="169" t="e">
        <f t="shared" si="6"/>
        <v>#REF!</v>
      </c>
      <c r="M65" s="170" t="e">
        <f t="shared" si="5"/>
        <v>#REF!</v>
      </c>
      <c r="N65" s="100" t="s">
        <v>243</v>
      </c>
      <c r="O65" s="165"/>
    </row>
    <row r="66" spans="1:15">
      <c r="A66" s="100">
        <v>62</v>
      </c>
      <c r="B66" s="165"/>
      <c r="C66" s="100" t="s">
        <v>244</v>
      </c>
      <c r="D66" s="165"/>
      <c r="E66" s="100" t="s">
        <v>240</v>
      </c>
      <c r="F66" s="159">
        <v>2</v>
      </c>
      <c r="G66" s="160">
        <f>800+800</f>
        <v>1600</v>
      </c>
      <c r="H66" s="158"/>
      <c r="I66" s="160"/>
      <c r="J66" s="169" t="e">
        <f t="shared" si="7"/>
        <v>#REF!</v>
      </c>
      <c r="K66" s="170" t="e">
        <f t="shared" si="4"/>
        <v>#REF!</v>
      </c>
      <c r="L66" s="169" t="e">
        <f t="shared" si="6"/>
        <v>#REF!</v>
      </c>
      <c r="M66" s="170" t="e">
        <f t="shared" si="5"/>
        <v>#REF!</v>
      </c>
      <c r="N66" s="100" t="s">
        <v>245</v>
      </c>
      <c r="O66" s="165"/>
    </row>
    <row r="67" spans="1:15">
      <c r="A67" s="100">
        <v>63</v>
      </c>
      <c r="B67" s="165"/>
      <c r="C67" s="100" t="s">
        <v>246</v>
      </c>
      <c r="D67" s="165"/>
      <c r="E67" s="100" t="s">
        <v>240</v>
      </c>
      <c r="F67" s="159">
        <v>2</v>
      </c>
      <c r="G67" s="160">
        <v>800</v>
      </c>
      <c r="H67" s="158"/>
      <c r="I67" s="160"/>
      <c r="J67" s="169" t="e">
        <f t="shared" si="7"/>
        <v>#REF!</v>
      </c>
      <c r="K67" s="170" t="e">
        <f t="shared" si="4"/>
        <v>#REF!</v>
      </c>
      <c r="L67" s="169" t="e">
        <f t="shared" si="6"/>
        <v>#REF!</v>
      </c>
      <c r="M67" s="170" t="e">
        <f t="shared" si="5"/>
        <v>#REF!</v>
      </c>
      <c r="N67" s="100" t="s">
        <v>247</v>
      </c>
      <c r="O67" s="165"/>
    </row>
    <row r="68" ht="24" spans="1:15">
      <c r="A68" s="100">
        <v>64</v>
      </c>
      <c r="B68" s="100" t="s">
        <v>248</v>
      </c>
      <c r="C68" s="100" t="s">
        <v>249</v>
      </c>
      <c r="D68" s="100" t="s">
        <v>239</v>
      </c>
      <c r="E68" s="100" t="s">
        <v>240</v>
      </c>
      <c r="F68" s="159">
        <v>3</v>
      </c>
      <c r="G68" s="100">
        <f>800+800+800+800</f>
        <v>3200</v>
      </c>
      <c r="H68" s="158"/>
      <c r="I68" s="160"/>
      <c r="J68" s="169" t="e">
        <f t="shared" si="7"/>
        <v>#REF!</v>
      </c>
      <c r="K68" s="170" t="e">
        <f t="shared" ref="K68:K99" si="8">F68*G68*J68</f>
        <v>#REF!</v>
      </c>
      <c r="L68" s="169" t="e">
        <f t="shared" si="6"/>
        <v>#REF!</v>
      </c>
      <c r="M68" s="170" t="e">
        <f t="shared" ref="M68:M99" si="9">F68*G68*L68</f>
        <v>#REF!</v>
      </c>
      <c r="N68" s="100" t="s">
        <v>250</v>
      </c>
      <c r="O68" s="100"/>
    </row>
    <row r="69" spans="1:15">
      <c r="A69" s="100">
        <v>65</v>
      </c>
      <c r="B69" s="165"/>
      <c r="C69" s="100" t="s">
        <v>54</v>
      </c>
      <c r="D69" s="165"/>
      <c r="E69" s="100" t="s">
        <v>240</v>
      </c>
      <c r="F69" s="159">
        <v>3</v>
      </c>
      <c r="G69" s="100">
        <v>800</v>
      </c>
      <c r="H69" s="158"/>
      <c r="I69" s="160"/>
      <c r="J69" s="169" t="e">
        <f t="shared" si="7"/>
        <v>#REF!</v>
      </c>
      <c r="K69" s="170" t="e">
        <f t="shared" si="8"/>
        <v>#REF!</v>
      </c>
      <c r="L69" s="169" t="e">
        <f t="shared" si="6"/>
        <v>#REF!</v>
      </c>
      <c r="M69" s="170" t="e">
        <f t="shared" si="9"/>
        <v>#REF!</v>
      </c>
      <c r="N69" s="100" t="s">
        <v>247</v>
      </c>
      <c r="O69" s="100"/>
    </row>
    <row r="70" spans="1:15">
      <c r="A70" s="100">
        <v>66</v>
      </c>
      <c r="B70" s="165"/>
      <c r="C70" s="100" t="s">
        <v>54</v>
      </c>
      <c r="D70" s="165"/>
      <c r="E70" s="100" t="s">
        <v>240</v>
      </c>
      <c r="F70" s="159">
        <v>3</v>
      </c>
      <c r="G70" s="100">
        <v>800</v>
      </c>
      <c r="H70" s="158"/>
      <c r="I70" s="160"/>
      <c r="J70" s="169" t="e">
        <f t="shared" si="7"/>
        <v>#REF!</v>
      </c>
      <c r="K70" s="170" t="e">
        <f t="shared" si="8"/>
        <v>#REF!</v>
      </c>
      <c r="L70" s="169" t="e">
        <f t="shared" ref="L70:L101" si="10">L69</f>
        <v>#REF!</v>
      </c>
      <c r="M70" s="170" t="e">
        <f t="shared" si="9"/>
        <v>#REF!</v>
      </c>
      <c r="N70" s="100" t="s">
        <v>247</v>
      </c>
      <c r="O70" s="100"/>
    </row>
    <row r="71" ht="24" spans="1:15">
      <c r="A71" s="100">
        <v>67</v>
      </c>
      <c r="B71" s="100" t="s">
        <v>251</v>
      </c>
      <c r="C71" s="100" t="s">
        <v>252</v>
      </c>
      <c r="D71" s="100" t="s">
        <v>253</v>
      </c>
      <c r="E71" s="100" t="s">
        <v>29</v>
      </c>
      <c r="F71" s="159">
        <v>8</v>
      </c>
      <c r="G71" s="160">
        <f>200+300+800+800+400</f>
        <v>2500</v>
      </c>
      <c r="H71" s="158"/>
      <c r="I71" s="160"/>
      <c r="J71" s="169" t="e">
        <f t="shared" si="7"/>
        <v>#REF!</v>
      </c>
      <c r="K71" s="170" t="e">
        <f t="shared" si="8"/>
        <v>#REF!</v>
      </c>
      <c r="L71" s="169" t="e">
        <f t="shared" si="10"/>
        <v>#REF!</v>
      </c>
      <c r="M71" s="170" t="e">
        <f t="shared" si="9"/>
        <v>#REF!</v>
      </c>
      <c r="N71" s="100" t="s">
        <v>254</v>
      </c>
      <c r="O71" s="100"/>
    </row>
    <row r="72" ht="36" spans="1:15">
      <c r="A72" s="100">
        <v>68</v>
      </c>
      <c r="B72" s="100" t="s">
        <v>255</v>
      </c>
      <c r="C72" s="100" t="s">
        <v>256</v>
      </c>
      <c r="D72" s="100" t="s">
        <v>257</v>
      </c>
      <c r="E72" s="100" t="s">
        <v>29</v>
      </c>
      <c r="F72" s="159">
        <v>8</v>
      </c>
      <c r="G72" s="160">
        <f>1500+1500</f>
        <v>3000</v>
      </c>
      <c r="H72" s="158"/>
      <c r="I72" s="160"/>
      <c r="J72" s="169" t="e">
        <f t="shared" ref="J72:J103" si="11">J71</f>
        <v>#REF!</v>
      </c>
      <c r="K72" s="170" t="e">
        <f t="shared" si="8"/>
        <v>#REF!</v>
      </c>
      <c r="L72" s="169" t="e">
        <f t="shared" si="10"/>
        <v>#REF!</v>
      </c>
      <c r="M72" s="170" t="e">
        <f t="shared" si="9"/>
        <v>#REF!</v>
      </c>
      <c r="N72" s="100" t="s">
        <v>258</v>
      </c>
      <c r="O72" s="100"/>
    </row>
    <row r="73" ht="96" spans="1:15">
      <c r="A73" s="100">
        <v>69</v>
      </c>
      <c r="B73" s="100" t="s">
        <v>259</v>
      </c>
      <c r="C73" s="100" t="s">
        <v>260</v>
      </c>
      <c r="D73" s="100" t="s">
        <v>261</v>
      </c>
      <c r="E73" s="100" t="s">
        <v>29</v>
      </c>
      <c r="F73" s="159">
        <v>8</v>
      </c>
      <c r="G73" s="160">
        <f>500+300+500+500</f>
        <v>1800</v>
      </c>
      <c r="H73" s="158"/>
      <c r="I73" s="160"/>
      <c r="J73" s="169" t="e">
        <f t="shared" si="11"/>
        <v>#REF!</v>
      </c>
      <c r="K73" s="170" t="e">
        <f t="shared" si="8"/>
        <v>#REF!</v>
      </c>
      <c r="L73" s="169" t="e">
        <f t="shared" si="10"/>
        <v>#REF!</v>
      </c>
      <c r="M73" s="170" t="e">
        <f t="shared" si="9"/>
        <v>#REF!</v>
      </c>
      <c r="N73" s="100" t="s">
        <v>262</v>
      </c>
      <c r="O73" s="100"/>
    </row>
    <row r="74" spans="1:15">
      <c r="A74" s="100">
        <v>70</v>
      </c>
      <c r="B74" s="100" t="s">
        <v>263</v>
      </c>
      <c r="C74" s="100" t="s">
        <v>51</v>
      </c>
      <c r="D74" s="100" t="s">
        <v>52</v>
      </c>
      <c r="E74" s="100" t="s">
        <v>29</v>
      </c>
      <c r="F74" s="159">
        <v>3</v>
      </c>
      <c r="G74" s="160">
        <v>600</v>
      </c>
      <c r="H74" s="158"/>
      <c r="I74" s="160"/>
      <c r="J74" s="169" t="e">
        <f t="shared" si="11"/>
        <v>#REF!</v>
      </c>
      <c r="K74" s="170" t="e">
        <f t="shared" si="8"/>
        <v>#REF!</v>
      </c>
      <c r="L74" s="169" t="e">
        <f t="shared" si="10"/>
        <v>#REF!</v>
      </c>
      <c r="M74" s="170" t="e">
        <f t="shared" si="9"/>
        <v>#REF!</v>
      </c>
      <c r="N74" s="100" t="s">
        <v>264</v>
      </c>
      <c r="O74" s="100"/>
    </row>
    <row r="75" ht="24" spans="1:15">
      <c r="A75" s="100">
        <v>71</v>
      </c>
      <c r="B75" s="100" t="s">
        <v>265</v>
      </c>
      <c r="C75" s="100" t="s">
        <v>266</v>
      </c>
      <c r="D75" s="100" t="s">
        <v>267</v>
      </c>
      <c r="E75" s="100" t="s">
        <v>29</v>
      </c>
      <c r="F75" s="159">
        <v>2</v>
      </c>
      <c r="G75" s="160">
        <f>200+300+250</f>
        <v>750</v>
      </c>
      <c r="H75" s="158"/>
      <c r="I75" s="160"/>
      <c r="J75" s="169" t="e">
        <f t="shared" si="11"/>
        <v>#REF!</v>
      </c>
      <c r="K75" s="170" t="e">
        <f t="shared" si="8"/>
        <v>#REF!</v>
      </c>
      <c r="L75" s="169" t="e">
        <f t="shared" si="10"/>
        <v>#REF!</v>
      </c>
      <c r="M75" s="170" t="e">
        <f t="shared" si="9"/>
        <v>#REF!</v>
      </c>
      <c r="N75" s="100" t="s">
        <v>268</v>
      </c>
      <c r="O75" s="100"/>
    </row>
    <row r="76" ht="96" spans="1:15">
      <c r="A76" s="100">
        <v>72</v>
      </c>
      <c r="B76" s="100" t="s">
        <v>269</v>
      </c>
      <c r="C76" s="100" t="s">
        <v>270</v>
      </c>
      <c r="D76" s="100" t="s">
        <v>271</v>
      </c>
      <c r="E76" s="100" t="s">
        <v>29</v>
      </c>
      <c r="F76" s="159">
        <v>2</v>
      </c>
      <c r="G76" s="160">
        <v>100</v>
      </c>
      <c r="H76" s="158"/>
      <c r="I76" s="160"/>
      <c r="J76" s="169" t="e">
        <f t="shared" si="11"/>
        <v>#REF!</v>
      </c>
      <c r="K76" s="170" t="e">
        <f t="shared" si="8"/>
        <v>#REF!</v>
      </c>
      <c r="L76" s="169" t="e">
        <f t="shared" si="10"/>
        <v>#REF!</v>
      </c>
      <c r="M76" s="170" t="e">
        <f t="shared" si="9"/>
        <v>#REF!</v>
      </c>
      <c r="N76" s="100" t="s">
        <v>272</v>
      </c>
      <c r="O76" s="100"/>
    </row>
    <row r="77" ht="36" spans="1:15">
      <c r="A77" s="100">
        <v>73</v>
      </c>
      <c r="B77" s="100" t="s">
        <v>273</v>
      </c>
      <c r="C77" s="100" t="s">
        <v>274</v>
      </c>
      <c r="D77" s="100" t="s">
        <v>275</v>
      </c>
      <c r="E77" s="100" t="s">
        <v>29</v>
      </c>
      <c r="F77" s="159">
        <v>8</v>
      </c>
      <c r="G77" s="160">
        <f>500+300+200+300+800+500</f>
        <v>2600</v>
      </c>
      <c r="H77" s="158"/>
      <c r="I77" s="160"/>
      <c r="J77" s="169" t="e">
        <f t="shared" si="11"/>
        <v>#REF!</v>
      </c>
      <c r="K77" s="170" t="e">
        <f t="shared" si="8"/>
        <v>#REF!</v>
      </c>
      <c r="L77" s="169" t="e">
        <f t="shared" si="10"/>
        <v>#REF!</v>
      </c>
      <c r="M77" s="170" t="e">
        <f t="shared" si="9"/>
        <v>#REF!</v>
      </c>
      <c r="N77" s="100" t="s">
        <v>276</v>
      </c>
      <c r="O77" s="100"/>
    </row>
    <row r="78" ht="36" spans="1:15">
      <c r="A78" s="100">
        <v>74</v>
      </c>
      <c r="B78" s="100" t="s">
        <v>277</v>
      </c>
      <c r="C78" s="100" t="s">
        <v>278</v>
      </c>
      <c r="D78" s="100" t="s">
        <v>279</v>
      </c>
      <c r="E78" s="100" t="s">
        <v>29</v>
      </c>
      <c r="F78" s="159">
        <v>3</v>
      </c>
      <c r="G78" s="160">
        <f>300+200+200+100+200+200+250</f>
        <v>1450</v>
      </c>
      <c r="H78" s="158"/>
      <c r="I78" s="160"/>
      <c r="J78" s="169" t="e">
        <f t="shared" si="11"/>
        <v>#REF!</v>
      </c>
      <c r="K78" s="170" t="e">
        <f t="shared" si="8"/>
        <v>#REF!</v>
      </c>
      <c r="L78" s="169" t="e">
        <f t="shared" si="10"/>
        <v>#REF!</v>
      </c>
      <c r="M78" s="170" t="e">
        <f t="shared" si="9"/>
        <v>#REF!</v>
      </c>
      <c r="N78" s="100" t="s">
        <v>280</v>
      </c>
      <c r="O78" s="100"/>
    </row>
    <row r="79" ht="24" spans="1:15">
      <c r="A79" s="100">
        <v>75</v>
      </c>
      <c r="B79" s="99" t="s">
        <v>281</v>
      </c>
      <c r="C79" s="100" t="s">
        <v>282</v>
      </c>
      <c r="D79" s="100" t="s">
        <v>99</v>
      </c>
      <c r="E79" s="100" t="s">
        <v>29</v>
      </c>
      <c r="F79" s="159">
        <v>10</v>
      </c>
      <c r="G79" s="99">
        <f>500+500+500+1000</f>
        <v>2500</v>
      </c>
      <c r="H79" s="158"/>
      <c r="I79" s="160"/>
      <c r="J79" s="169" t="e">
        <f t="shared" si="11"/>
        <v>#REF!</v>
      </c>
      <c r="K79" s="170" t="e">
        <f t="shared" si="8"/>
        <v>#REF!</v>
      </c>
      <c r="L79" s="169" t="e">
        <f t="shared" si="10"/>
        <v>#REF!</v>
      </c>
      <c r="M79" s="170" t="e">
        <f t="shared" si="9"/>
        <v>#REF!</v>
      </c>
      <c r="N79" s="100" t="s">
        <v>283</v>
      </c>
      <c r="O79" s="100"/>
    </row>
    <row r="80" ht="24" spans="1:15">
      <c r="A80" s="100">
        <v>76</v>
      </c>
      <c r="B80" s="100" t="s">
        <v>284</v>
      </c>
      <c r="C80" s="100" t="s">
        <v>285</v>
      </c>
      <c r="D80" s="100" t="s">
        <v>286</v>
      </c>
      <c r="E80" s="100" t="s">
        <v>29</v>
      </c>
      <c r="F80" s="159">
        <v>6</v>
      </c>
      <c r="G80" s="160">
        <f>200+100+200+500</f>
        <v>1000</v>
      </c>
      <c r="H80" s="158"/>
      <c r="I80" s="160"/>
      <c r="J80" s="169" t="e">
        <f t="shared" si="11"/>
        <v>#REF!</v>
      </c>
      <c r="K80" s="170" t="e">
        <f t="shared" si="8"/>
        <v>#REF!</v>
      </c>
      <c r="L80" s="169" t="e">
        <f t="shared" si="10"/>
        <v>#REF!</v>
      </c>
      <c r="M80" s="170" t="e">
        <f t="shared" si="9"/>
        <v>#REF!</v>
      </c>
      <c r="N80" s="100" t="s">
        <v>287</v>
      </c>
      <c r="O80" s="100"/>
    </row>
    <row r="81" ht="36" spans="1:15">
      <c r="A81" s="100">
        <v>77</v>
      </c>
      <c r="B81" s="100" t="s">
        <v>288</v>
      </c>
      <c r="C81" s="100" t="s">
        <v>289</v>
      </c>
      <c r="D81" s="100" t="s">
        <v>290</v>
      </c>
      <c r="E81" s="100" t="s">
        <v>29</v>
      </c>
      <c r="F81" s="100">
        <v>8</v>
      </c>
      <c r="G81" s="173">
        <f>50+100+200</f>
        <v>350</v>
      </c>
      <c r="H81" s="158"/>
      <c r="I81" s="160"/>
      <c r="J81" s="169" t="e">
        <f t="shared" si="11"/>
        <v>#REF!</v>
      </c>
      <c r="K81" s="170" t="e">
        <f t="shared" si="8"/>
        <v>#REF!</v>
      </c>
      <c r="L81" s="169" t="e">
        <f t="shared" si="10"/>
        <v>#REF!</v>
      </c>
      <c r="M81" s="170" t="e">
        <f t="shared" si="9"/>
        <v>#REF!</v>
      </c>
      <c r="N81" s="100" t="s">
        <v>291</v>
      </c>
      <c r="O81" s="100"/>
    </row>
    <row r="82" ht="37.5" spans="1:15">
      <c r="A82" s="100">
        <v>78</v>
      </c>
      <c r="B82" s="100" t="s">
        <v>292</v>
      </c>
      <c r="C82" s="100" t="s">
        <v>293</v>
      </c>
      <c r="D82" s="100" t="s">
        <v>294</v>
      </c>
      <c r="E82" s="100" t="s">
        <v>29</v>
      </c>
      <c r="F82" s="100">
        <v>8</v>
      </c>
      <c r="G82" s="173">
        <f>50+100+400+300+500</f>
        <v>1350</v>
      </c>
      <c r="H82" s="158"/>
      <c r="I82" s="160"/>
      <c r="J82" s="169" t="e">
        <f t="shared" si="11"/>
        <v>#REF!</v>
      </c>
      <c r="K82" s="170" t="e">
        <f t="shared" si="8"/>
        <v>#REF!</v>
      </c>
      <c r="L82" s="169" t="e">
        <f t="shared" si="10"/>
        <v>#REF!</v>
      </c>
      <c r="M82" s="170" t="e">
        <f t="shared" si="9"/>
        <v>#REF!</v>
      </c>
      <c r="N82" s="100" t="s">
        <v>295</v>
      </c>
      <c r="O82" s="100"/>
    </row>
    <row r="83" ht="36" spans="1:15">
      <c r="A83" s="100">
        <v>79</v>
      </c>
      <c r="B83" s="100" t="s">
        <v>296</v>
      </c>
      <c r="C83" s="100" t="s">
        <v>297</v>
      </c>
      <c r="D83" s="100" t="s">
        <v>298</v>
      </c>
      <c r="E83" s="100" t="s">
        <v>29</v>
      </c>
      <c r="F83" s="100">
        <v>3</v>
      </c>
      <c r="G83" s="173">
        <f>100+600</f>
        <v>700</v>
      </c>
      <c r="H83" s="158"/>
      <c r="I83" s="160"/>
      <c r="J83" s="169" t="e">
        <f t="shared" si="11"/>
        <v>#REF!</v>
      </c>
      <c r="K83" s="170" t="e">
        <f t="shared" si="8"/>
        <v>#REF!</v>
      </c>
      <c r="L83" s="169" t="e">
        <f t="shared" si="10"/>
        <v>#REF!</v>
      </c>
      <c r="M83" s="170" t="e">
        <f t="shared" si="9"/>
        <v>#REF!</v>
      </c>
      <c r="N83" s="100" t="s">
        <v>299</v>
      </c>
      <c r="O83" s="100"/>
    </row>
    <row r="84" s="152" customFormat="1" ht="41" customHeight="1" spans="1:15">
      <c r="A84" s="100">
        <v>80</v>
      </c>
      <c r="B84" s="100" t="s">
        <v>300</v>
      </c>
      <c r="C84" s="100" t="s">
        <v>301</v>
      </c>
      <c r="D84" s="100" t="s">
        <v>302</v>
      </c>
      <c r="E84" s="174" t="s">
        <v>29</v>
      </c>
      <c r="F84" s="175">
        <v>3</v>
      </c>
      <c r="G84" s="176">
        <f>50+100+600+300</f>
        <v>1050</v>
      </c>
      <c r="H84" s="158"/>
      <c r="I84" s="160"/>
      <c r="J84" s="169" t="e">
        <f t="shared" si="11"/>
        <v>#REF!</v>
      </c>
      <c r="K84" s="170" t="e">
        <f t="shared" si="8"/>
        <v>#REF!</v>
      </c>
      <c r="L84" s="169" t="e">
        <f t="shared" si="10"/>
        <v>#REF!</v>
      </c>
      <c r="M84" s="170" t="e">
        <f t="shared" si="9"/>
        <v>#REF!</v>
      </c>
      <c r="N84" s="100" t="s">
        <v>303</v>
      </c>
      <c r="O84" s="99"/>
    </row>
    <row r="85" s="152" customFormat="1" ht="25.5" spans="1:15">
      <c r="A85" s="100">
        <v>81</v>
      </c>
      <c r="B85" s="175" t="s">
        <v>304</v>
      </c>
      <c r="C85" s="100" t="s">
        <v>305</v>
      </c>
      <c r="D85" s="100" t="s">
        <v>302</v>
      </c>
      <c r="E85" s="100" t="s">
        <v>29</v>
      </c>
      <c r="F85" s="175">
        <v>16</v>
      </c>
      <c r="G85" s="176">
        <f>50+100+200+1000+200</f>
        <v>1550</v>
      </c>
      <c r="H85" s="158"/>
      <c r="I85" s="160"/>
      <c r="J85" s="169" t="e">
        <f t="shared" si="11"/>
        <v>#REF!</v>
      </c>
      <c r="K85" s="170" t="e">
        <f t="shared" si="8"/>
        <v>#REF!</v>
      </c>
      <c r="L85" s="169" t="e">
        <f t="shared" si="10"/>
        <v>#REF!</v>
      </c>
      <c r="M85" s="170" t="e">
        <f t="shared" si="9"/>
        <v>#REF!</v>
      </c>
      <c r="N85" s="100" t="s">
        <v>306</v>
      </c>
      <c r="O85" s="100"/>
    </row>
    <row r="86" s="152" customFormat="1" ht="25.5" spans="1:15">
      <c r="A86" s="100">
        <v>82</v>
      </c>
      <c r="B86" s="175" t="s">
        <v>307</v>
      </c>
      <c r="C86" s="100" t="s">
        <v>308</v>
      </c>
      <c r="D86" s="100" t="s">
        <v>309</v>
      </c>
      <c r="E86" s="100" t="s">
        <v>29</v>
      </c>
      <c r="F86" s="175">
        <v>16</v>
      </c>
      <c r="G86" s="176">
        <f>50+100+1000</f>
        <v>1150</v>
      </c>
      <c r="H86" s="158"/>
      <c r="I86" s="160"/>
      <c r="J86" s="169" t="e">
        <f t="shared" si="11"/>
        <v>#REF!</v>
      </c>
      <c r="K86" s="170" t="e">
        <f t="shared" si="8"/>
        <v>#REF!</v>
      </c>
      <c r="L86" s="169" t="e">
        <f t="shared" si="10"/>
        <v>#REF!</v>
      </c>
      <c r="M86" s="170" t="e">
        <f t="shared" si="9"/>
        <v>#REF!</v>
      </c>
      <c r="N86" s="100" t="s">
        <v>310</v>
      </c>
      <c r="O86" s="100"/>
    </row>
    <row r="87" s="152" customFormat="1" ht="25.5" spans="1:15">
      <c r="A87" s="100">
        <v>83</v>
      </c>
      <c r="B87" s="175" t="s">
        <v>311</v>
      </c>
      <c r="C87" s="100" t="s">
        <v>312</v>
      </c>
      <c r="D87" s="100" t="s">
        <v>302</v>
      </c>
      <c r="E87" s="100" t="s">
        <v>29</v>
      </c>
      <c r="F87" s="175">
        <v>16</v>
      </c>
      <c r="G87" s="176">
        <f>50+100+200+400+1000</f>
        <v>1750</v>
      </c>
      <c r="H87" s="158"/>
      <c r="I87" s="160"/>
      <c r="J87" s="169" t="e">
        <f t="shared" si="11"/>
        <v>#REF!</v>
      </c>
      <c r="K87" s="170" t="e">
        <f t="shared" si="8"/>
        <v>#REF!</v>
      </c>
      <c r="L87" s="169" t="e">
        <f t="shared" si="10"/>
        <v>#REF!</v>
      </c>
      <c r="M87" s="170" t="e">
        <f t="shared" si="9"/>
        <v>#REF!</v>
      </c>
      <c r="N87" s="100" t="s">
        <v>313</v>
      </c>
      <c r="O87" s="175"/>
    </row>
    <row r="88" s="152" customFormat="1" ht="25.5" spans="1:15">
      <c r="A88" s="100">
        <v>84</v>
      </c>
      <c r="B88" s="175" t="s">
        <v>314</v>
      </c>
      <c r="C88" s="100" t="s">
        <v>315</v>
      </c>
      <c r="D88" s="100" t="s">
        <v>316</v>
      </c>
      <c r="E88" s="100" t="s">
        <v>29</v>
      </c>
      <c r="F88" s="175">
        <v>16</v>
      </c>
      <c r="G88" s="176">
        <f>50+100+1000</f>
        <v>1150</v>
      </c>
      <c r="H88" s="158"/>
      <c r="I88" s="160"/>
      <c r="J88" s="169" t="e">
        <f t="shared" si="11"/>
        <v>#REF!</v>
      </c>
      <c r="K88" s="170" t="e">
        <f t="shared" si="8"/>
        <v>#REF!</v>
      </c>
      <c r="L88" s="169" t="e">
        <f t="shared" si="10"/>
        <v>#REF!</v>
      </c>
      <c r="M88" s="170" t="e">
        <f t="shared" si="9"/>
        <v>#REF!</v>
      </c>
      <c r="N88" s="100" t="s">
        <v>310</v>
      </c>
      <c r="O88" s="175"/>
    </row>
    <row r="89" s="152" customFormat="1" ht="25.5" spans="1:15">
      <c r="A89" s="100">
        <v>85</v>
      </c>
      <c r="B89" s="100" t="s">
        <v>317</v>
      </c>
      <c r="C89" s="100" t="s">
        <v>318</v>
      </c>
      <c r="D89" s="100" t="s">
        <v>319</v>
      </c>
      <c r="E89" s="100" t="s">
        <v>29</v>
      </c>
      <c r="F89" s="175">
        <v>10</v>
      </c>
      <c r="G89" s="176">
        <f>400+400+400</f>
        <v>1200</v>
      </c>
      <c r="H89" s="158"/>
      <c r="I89" s="160"/>
      <c r="J89" s="169" t="e">
        <f t="shared" si="11"/>
        <v>#REF!</v>
      </c>
      <c r="K89" s="170" t="e">
        <f t="shared" si="8"/>
        <v>#REF!</v>
      </c>
      <c r="L89" s="169" t="e">
        <f t="shared" si="10"/>
        <v>#REF!</v>
      </c>
      <c r="M89" s="170" t="e">
        <f t="shared" si="9"/>
        <v>#REF!</v>
      </c>
      <c r="N89" s="100" t="s">
        <v>320</v>
      </c>
      <c r="O89" s="100"/>
    </row>
    <row r="90" s="152" customFormat="1" ht="25.5" spans="1:15">
      <c r="A90" s="100">
        <v>86</v>
      </c>
      <c r="B90" s="175" t="s">
        <v>321</v>
      </c>
      <c r="C90" s="100" t="s">
        <v>322</v>
      </c>
      <c r="D90" s="100" t="s">
        <v>302</v>
      </c>
      <c r="E90" s="100" t="s">
        <v>29</v>
      </c>
      <c r="F90" s="175">
        <v>10</v>
      </c>
      <c r="G90" s="176">
        <f>50+200+100+200+250+400+300</f>
        <v>1500</v>
      </c>
      <c r="H90" s="158"/>
      <c r="I90" s="160"/>
      <c r="J90" s="169" t="e">
        <f t="shared" si="11"/>
        <v>#REF!</v>
      </c>
      <c r="K90" s="170" t="e">
        <f t="shared" si="8"/>
        <v>#REF!</v>
      </c>
      <c r="L90" s="169" t="e">
        <f t="shared" si="10"/>
        <v>#REF!</v>
      </c>
      <c r="M90" s="170" t="e">
        <f t="shared" si="9"/>
        <v>#REF!</v>
      </c>
      <c r="N90" s="100" t="s">
        <v>323</v>
      </c>
      <c r="O90" s="175"/>
    </row>
    <row r="91" s="152" customFormat="1" ht="25.5" spans="1:15">
      <c r="A91" s="100">
        <v>87</v>
      </c>
      <c r="B91" s="175" t="s">
        <v>324</v>
      </c>
      <c r="C91" s="100" t="s">
        <v>325</v>
      </c>
      <c r="D91" s="100" t="s">
        <v>309</v>
      </c>
      <c r="E91" s="100" t="s">
        <v>29</v>
      </c>
      <c r="F91" s="175">
        <v>10</v>
      </c>
      <c r="G91" s="176">
        <f>50+200+100+200+200+250</f>
        <v>1000</v>
      </c>
      <c r="H91" s="158"/>
      <c r="I91" s="160"/>
      <c r="J91" s="169" t="e">
        <f t="shared" si="11"/>
        <v>#REF!</v>
      </c>
      <c r="K91" s="170" t="e">
        <f t="shared" si="8"/>
        <v>#REF!</v>
      </c>
      <c r="L91" s="169" t="e">
        <f t="shared" si="10"/>
        <v>#REF!</v>
      </c>
      <c r="M91" s="170" t="e">
        <f t="shared" si="9"/>
        <v>#REF!</v>
      </c>
      <c r="N91" s="100" t="s">
        <v>326</v>
      </c>
      <c r="O91" s="100"/>
    </row>
    <row r="92" s="152" customFormat="1" ht="25.5" spans="1:15">
      <c r="A92" s="100">
        <v>88</v>
      </c>
      <c r="B92" s="175" t="s">
        <v>327</v>
      </c>
      <c r="C92" s="100" t="s">
        <v>328</v>
      </c>
      <c r="D92" s="100" t="s">
        <v>329</v>
      </c>
      <c r="E92" s="100" t="s">
        <v>29</v>
      </c>
      <c r="F92" s="175">
        <v>10</v>
      </c>
      <c r="G92" s="176">
        <f>100+100+300+300+600</f>
        <v>1400</v>
      </c>
      <c r="H92" s="158"/>
      <c r="I92" s="160"/>
      <c r="J92" s="169" t="e">
        <f t="shared" si="11"/>
        <v>#REF!</v>
      </c>
      <c r="K92" s="170" t="e">
        <f t="shared" si="8"/>
        <v>#REF!</v>
      </c>
      <c r="L92" s="169" t="e">
        <f t="shared" si="10"/>
        <v>#REF!</v>
      </c>
      <c r="M92" s="170" t="e">
        <f t="shared" si="9"/>
        <v>#REF!</v>
      </c>
      <c r="N92" s="100" t="s">
        <v>330</v>
      </c>
      <c r="O92" s="100"/>
    </row>
    <row r="93" s="152" customFormat="1" ht="25.5" spans="1:15">
      <c r="A93" s="100">
        <v>89</v>
      </c>
      <c r="B93" s="100" t="s">
        <v>331</v>
      </c>
      <c r="C93" s="100" t="s">
        <v>332</v>
      </c>
      <c r="D93" s="100" t="s">
        <v>333</v>
      </c>
      <c r="E93" s="100" t="s">
        <v>29</v>
      </c>
      <c r="F93" s="175">
        <v>10</v>
      </c>
      <c r="G93" s="176">
        <f>50+100+200+200+400+400+300</f>
        <v>1650</v>
      </c>
      <c r="H93" s="158"/>
      <c r="I93" s="160"/>
      <c r="J93" s="169" t="e">
        <f t="shared" si="11"/>
        <v>#REF!</v>
      </c>
      <c r="K93" s="170" t="e">
        <f t="shared" si="8"/>
        <v>#REF!</v>
      </c>
      <c r="L93" s="169" t="e">
        <f t="shared" si="10"/>
        <v>#REF!</v>
      </c>
      <c r="M93" s="170" t="e">
        <f t="shared" si="9"/>
        <v>#REF!</v>
      </c>
      <c r="N93" s="100" t="s">
        <v>334</v>
      </c>
      <c r="O93" s="100"/>
    </row>
    <row r="94" s="152" customFormat="1" ht="25.5" spans="1:15">
      <c r="A94" s="100">
        <v>90</v>
      </c>
      <c r="B94" s="100" t="s">
        <v>335</v>
      </c>
      <c r="C94" s="100" t="s">
        <v>336</v>
      </c>
      <c r="D94" s="100" t="s">
        <v>333</v>
      </c>
      <c r="E94" s="100" t="s">
        <v>29</v>
      </c>
      <c r="F94" s="175">
        <v>3</v>
      </c>
      <c r="G94" s="176">
        <f>50+100+200+300+400+400</f>
        <v>1450</v>
      </c>
      <c r="H94" s="158"/>
      <c r="I94" s="160"/>
      <c r="J94" s="169" t="e">
        <f t="shared" si="11"/>
        <v>#REF!</v>
      </c>
      <c r="K94" s="170" t="e">
        <f t="shared" si="8"/>
        <v>#REF!</v>
      </c>
      <c r="L94" s="169" t="e">
        <f t="shared" si="10"/>
        <v>#REF!</v>
      </c>
      <c r="M94" s="170" t="e">
        <f t="shared" si="9"/>
        <v>#REF!</v>
      </c>
      <c r="N94" s="100" t="s">
        <v>337</v>
      </c>
      <c r="O94" s="100"/>
    </row>
    <row r="95" s="152" customFormat="1" ht="25.5" spans="1:15">
      <c r="A95" s="100">
        <v>91</v>
      </c>
      <c r="B95" s="100" t="s">
        <v>338</v>
      </c>
      <c r="C95" s="100" t="s">
        <v>339</v>
      </c>
      <c r="D95" s="100" t="s">
        <v>340</v>
      </c>
      <c r="E95" s="100" t="s">
        <v>29</v>
      </c>
      <c r="F95" s="175">
        <v>10</v>
      </c>
      <c r="G95" s="176">
        <f>50+200+200+300+200</f>
        <v>950</v>
      </c>
      <c r="H95" s="158"/>
      <c r="I95" s="160"/>
      <c r="J95" s="169" t="e">
        <f t="shared" si="11"/>
        <v>#REF!</v>
      </c>
      <c r="K95" s="170" t="e">
        <f t="shared" si="8"/>
        <v>#REF!</v>
      </c>
      <c r="L95" s="169" t="e">
        <f t="shared" si="10"/>
        <v>#REF!</v>
      </c>
      <c r="M95" s="170" t="e">
        <f t="shared" si="9"/>
        <v>#REF!</v>
      </c>
      <c r="N95" s="100" t="s">
        <v>341</v>
      </c>
      <c r="O95" s="100"/>
    </row>
    <row r="96" s="152" customFormat="1" ht="49.5" spans="1:15">
      <c r="A96" s="100">
        <v>92</v>
      </c>
      <c r="B96" s="100" t="s">
        <v>342</v>
      </c>
      <c r="C96" s="100" t="s">
        <v>343</v>
      </c>
      <c r="D96" s="100" t="s">
        <v>344</v>
      </c>
      <c r="E96" s="100" t="s">
        <v>29</v>
      </c>
      <c r="F96" s="175">
        <v>16</v>
      </c>
      <c r="G96" s="176">
        <f>50+100+200+300+200+200+200+500+500</f>
        <v>2250</v>
      </c>
      <c r="H96" s="158"/>
      <c r="I96" s="160"/>
      <c r="J96" s="169" t="e">
        <f t="shared" si="11"/>
        <v>#REF!</v>
      </c>
      <c r="K96" s="170" t="e">
        <f t="shared" si="8"/>
        <v>#REF!</v>
      </c>
      <c r="L96" s="169" t="e">
        <f t="shared" si="10"/>
        <v>#REF!</v>
      </c>
      <c r="M96" s="170" t="e">
        <f t="shared" si="9"/>
        <v>#REF!</v>
      </c>
      <c r="N96" s="100" t="s">
        <v>345</v>
      </c>
      <c r="O96" s="100"/>
    </row>
    <row r="97" s="152" customFormat="1" ht="48" spans="1:15">
      <c r="A97" s="100">
        <v>93</v>
      </c>
      <c r="B97" s="100" t="s">
        <v>346</v>
      </c>
      <c r="C97" s="100" t="s">
        <v>347</v>
      </c>
      <c r="D97" s="100" t="s">
        <v>348</v>
      </c>
      <c r="E97" s="100" t="s">
        <v>29</v>
      </c>
      <c r="F97" s="175">
        <v>2</v>
      </c>
      <c r="G97" s="176">
        <f>100+100+100+100+100+100+500+500</f>
        <v>1600</v>
      </c>
      <c r="H97" s="158"/>
      <c r="I97" s="160"/>
      <c r="J97" s="169" t="e">
        <f t="shared" si="11"/>
        <v>#REF!</v>
      </c>
      <c r="K97" s="170" t="e">
        <f t="shared" si="8"/>
        <v>#REF!</v>
      </c>
      <c r="L97" s="169" t="e">
        <f t="shared" si="10"/>
        <v>#REF!</v>
      </c>
      <c r="M97" s="170" t="e">
        <f t="shared" si="9"/>
        <v>#REF!</v>
      </c>
      <c r="N97" s="100" t="s">
        <v>349</v>
      </c>
      <c r="O97" s="100"/>
    </row>
    <row r="98" s="152" customFormat="1" ht="25.5" spans="1:15">
      <c r="A98" s="100">
        <v>94</v>
      </c>
      <c r="B98" s="100" t="s">
        <v>350</v>
      </c>
      <c r="C98" s="100" t="s">
        <v>351</v>
      </c>
      <c r="D98" s="100" t="s">
        <v>302</v>
      </c>
      <c r="E98" s="100" t="s">
        <v>29</v>
      </c>
      <c r="F98" s="175">
        <v>2</v>
      </c>
      <c r="G98" s="176">
        <f>50+100+400+300+300+400</f>
        <v>1550</v>
      </c>
      <c r="H98" s="158"/>
      <c r="I98" s="160"/>
      <c r="J98" s="169" t="e">
        <f t="shared" si="11"/>
        <v>#REF!</v>
      </c>
      <c r="K98" s="170" t="e">
        <f t="shared" si="8"/>
        <v>#REF!</v>
      </c>
      <c r="L98" s="169" t="e">
        <f t="shared" si="10"/>
        <v>#REF!</v>
      </c>
      <c r="M98" s="170" t="e">
        <f t="shared" si="9"/>
        <v>#REF!</v>
      </c>
      <c r="N98" s="100" t="s">
        <v>352</v>
      </c>
      <c r="O98" s="100"/>
    </row>
    <row r="99" s="152" customFormat="1" ht="38.25" spans="1:15">
      <c r="A99" s="100">
        <v>95</v>
      </c>
      <c r="B99" s="100" t="s">
        <v>353</v>
      </c>
      <c r="C99" s="100" t="s">
        <v>354</v>
      </c>
      <c r="D99" s="100" t="s">
        <v>355</v>
      </c>
      <c r="E99" s="100" t="s">
        <v>29</v>
      </c>
      <c r="F99" s="175">
        <v>16</v>
      </c>
      <c r="G99" s="176">
        <f>50+100+200+200+200+300+200+100+300+300+200</f>
        <v>2150</v>
      </c>
      <c r="H99" s="158"/>
      <c r="I99" s="160"/>
      <c r="J99" s="169" t="e">
        <f t="shared" si="11"/>
        <v>#REF!</v>
      </c>
      <c r="K99" s="170" t="e">
        <f t="shared" si="8"/>
        <v>#REF!</v>
      </c>
      <c r="L99" s="169" t="e">
        <f t="shared" si="10"/>
        <v>#REF!</v>
      </c>
      <c r="M99" s="170" t="e">
        <f t="shared" si="9"/>
        <v>#REF!</v>
      </c>
      <c r="N99" s="100" t="s">
        <v>356</v>
      </c>
      <c r="O99" s="100"/>
    </row>
    <row r="100" s="152" customFormat="1" ht="25.5" spans="1:15">
      <c r="A100" s="100">
        <v>96</v>
      </c>
      <c r="B100" s="100" t="s">
        <v>357</v>
      </c>
      <c r="C100" s="100" t="s">
        <v>358</v>
      </c>
      <c r="D100" s="100" t="s">
        <v>359</v>
      </c>
      <c r="E100" s="100" t="s">
        <v>29</v>
      </c>
      <c r="F100" s="175">
        <v>16</v>
      </c>
      <c r="G100" s="176">
        <f>50+100+100+300+300+200</f>
        <v>1050</v>
      </c>
      <c r="H100" s="158"/>
      <c r="I100" s="160"/>
      <c r="J100" s="169" t="e">
        <f t="shared" si="11"/>
        <v>#REF!</v>
      </c>
      <c r="K100" s="170" t="e">
        <f t="shared" ref="K100:K133" si="12">F100*G100*J100</f>
        <v>#REF!</v>
      </c>
      <c r="L100" s="169" t="e">
        <f t="shared" si="10"/>
        <v>#REF!</v>
      </c>
      <c r="M100" s="170" t="e">
        <f t="shared" ref="M100:M133" si="13">F100*G100*L100</f>
        <v>#REF!</v>
      </c>
      <c r="N100" s="100" t="s">
        <v>360</v>
      </c>
      <c r="O100" s="100"/>
    </row>
    <row r="101" s="152" customFormat="1" ht="25.5" spans="1:15">
      <c r="A101" s="100">
        <v>97</v>
      </c>
      <c r="B101" s="100" t="s">
        <v>361</v>
      </c>
      <c r="C101" s="100" t="s">
        <v>362</v>
      </c>
      <c r="D101" s="100" t="s">
        <v>302</v>
      </c>
      <c r="E101" s="100" t="s">
        <v>29</v>
      </c>
      <c r="F101" s="175">
        <v>3</v>
      </c>
      <c r="G101" s="176">
        <f>50+100+200+300+300+500+300</f>
        <v>1750</v>
      </c>
      <c r="H101" s="158"/>
      <c r="I101" s="160"/>
      <c r="J101" s="169" t="e">
        <f t="shared" si="11"/>
        <v>#REF!</v>
      </c>
      <c r="K101" s="170" t="e">
        <f t="shared" si="12"/>
        <v>#REF!</v>
      </c>
      <c r="L101" s="169" t="e">
        <f t="shared" si="10"/>
        <v>#REF!</v>
      </c>
      <c r="M101" s="170" t="e">
        <f t="shared" si="13"/>
        <v>#REF!</v>
      </c>
      <c r="N101" s="100" t="s">
        <v>363</v>
      </c>
      <c r="O101" s="100"/>
    </row>
    <row r="102" s="152" customFormat="1" ht="25.5" spans="1:15">
      <c r="A102" s="100">
        <v>98</v>
      </c>
      <c r="B102" s="100" t="s">
        <v>364</v>
      </c>
      <c r="C102" s="100" t="s">
        <v>365</v>
      </c>
      <c r="D102" s="100" t="s">
        <v>366</v>
      </c>
      <c r="E102" s="100" t="s">
        <v>29</v>
      </c>
      <c r="F102" s="175">
        <v>3</v>
      </c>
      <c r="G102" s="176">
        <f>300+300+300+250</f>
        <v>1150</v>
      </c>
      <c r="H102" s="158"/>
      <c r="I102" s="160"/>
      <c r="J102" s="169" t="e">
        <f t="shared" si="11"/>
        <v>#REF!</v>
      </c>
      <c r="K102" s="170" t="e">
        <f t="shared" si="12"/>
        <v>#REF!</v>
      </c>
      <c r="L102" s="169" t="e">
        <f t="shared" ref="L102:L133" si="14">L101</f>
        <v>#REF!</v>
      </c>
      <c r="M102" s="170" t="e">
        <f t="shared" si="13"/>
        <v>#REF!</v>
      </c>
      <c r="N102" s="100" t="s">
        <v>367</v>
      </c>
      <c r="O102" s="100"/>
    </row>
    <row r="103" s="152" customFormat="1" ht="60" spans="1:15">
      <c r="A103" s="100">
        <v>99</v>
      </c>
      <c r="B103" s="100" t="s">
        <v>368</v>
      </c>
      <c r="C103" s="100" t="s">
        <v>369</v>
      </c>
      <c r="D103" s="100" t="s">
        <v>370</v>
      </c>
      <c r="E103" s="100" t="s">
        <v>29</v>
      </c>
      <c r="F103" s="175">
        <v>15</v>
      </c>
      <c r="G103" s="176">
        <f>50+80*5+100+150*5+150*5+150*5+250+250</f>
        <v>3300</v>
      </c>
      <c r="H103" s="158"/>
      <c r="I103" s="160"/>
      <c r="J103" s="169" t="e">
        <f t="shared" si="11"/>
        <v>#REF!</v>
      </c>
      <c r="K103" s="170" t="e">
        <f t="shared" si="12"/>
        <v>#REF!</v>
      </c>
      <c r="L103" s="169" t="e">
        <f t="shared" si="14"/>
        <v>#REF!</v>
      </c>
      <c r="M103" s="170" t="e">
        <f t="shared" si="13"/>
        <v>#REF!</v>
      </c>
      <c r="N103" s="100" t="s">
        <v>371</v>
      </c>
      <c r="O103" s="100"/>
    </row>
    <row r="104" s="152" customFormat="1" ht="60" spans="1:15">
      <c r="A104" s="100">
        <v>100</v>
      </c>
      <c r="B104" s="100" t="s">
        <v>372</v>
      </c>
      <c r="C104" s="100" t="s">
        <v>373</v>
      </c>
      <c r="D104" s="100" t="s">
        <v>374</v>
      </c>
      <c r="E104" s="100" t="s">
        <v>29</v>
      </c>
      <c r="F104" s="175">
        <v>8</v>
      </c>
      <c r="G104" s="176">
        <f>50+150+100+100+300+600+600+200+300+150+500+100+100</f>
        <v>3250</v>
      </c>
      <c r="H104" s="158"/>
      <c r="I104" s="160"/>
      <c r="J104" s="169" t="e">
        <f t="shared" ref="J104:J133" si="15">J103</f>
        <v>#REF!</v>
      </c>
      <c r="K104" s="170" t="e">
        <f t="shared" si="12"/>
        <v>#REF!</v>
      </c>
      <c r="L104" s="169" t="e">
        <f t="shared" si="14"/>
        <v>#REF!</v>
      </c>
      <c r="M104" s="170" t="e">
        <f t="shared" si="13"/>
        <v>#REF!</v>
      </c>
      <c r="N104" s="100" t="s">
        <v>375</v>
      </c>
      <c r="O104" s="100"/>
    </row>
    <row r="105" s="152" customFormat="1" ht="48" spans="1:15">
      <c r="A105" s="100">
        <v>101</v>
      </c>
      <c r="B105" s="100" t="s">
        <v>376</v>
      </c>
      <c r="C105" s="100" t="s">
        <v>377</v>
      </c>
      <c r="D105" s="100" t="s">
        <v>374</v>
      </c>
      <c r="E105" s="100" t="s">
        <v>29</v>
      </c>
      <c r="F105" s="175">
        <v>8</v>
      </c>
      <c r="G105" s="176">
        <f>50+150+100+100+600+200+300+150+500+100+100</f>
        <v>2350</v>
      </c>
      <c r="H105" s="158"/>
      <c r="I105" s="160"/>
      <c r="J105" s="169" t="e">
        <f t="shared" si="15"/>
        <v>#REF!</v>
      </c>
      <c r="K105" s="170" t="e">
        <f t="shared" si="12"/>
        <v>#REF!</v>
      </c>
      <c r="L105" s="169" t="e">
        <f t="shared" si="14"/>
        <v>#REF!</v>
      </c>
      <c r="M105" s="170" t="e">
        <f t="shared" si="13"/>
        <v>#REF!</v>
      </c>
      <c r="N105" s="100" t="s">
        <v>378</v>
      </c>
      <c r="O105" s="100"/>
    </row>
    <row r="106" s="152" customFormat="1" ht="38.25" spans="1:15">
      <c r="A106" s="100">
        <v>102</v>
      </c>
      <c r="B106" s="100" t="s">
        <v>379</v>
      </c>
      <c r="C106" s="100" t="s">
        <v>380</v>
      </c>
      <c r="D106" s="100" t="s">
        <v>381</v>
      </c>
      <c r="E106" s="100" t="s">
        <v>29</v>
      </c>
      <c r="F106" s="175">
        <v>8</v>
      </c>
      <c r="G106" s="176">
        <f>50+100+100+300+300+300+200+500</f>
        <v>1850</v>
      </c>
      <c r="H106" s="158"/>
      <c r="I106" s="160"/>
      <c r="J106" s="169" t="e">
        <f t="shared" si="15"/>
        <v>#REF!</v>
      </c>
      <c r="K106" s="170" t="e">
        <f t="shared" si="12"/>
        <v>#REF!</v>
      </c>
      <c r="L106" s="169" t="e">
        <f t="shared" si="14"/>
        <v>#REF!</v>
      </c>
      <c r="M106" s="170" t="e">
        <f t="shared" si="13"/>
        <v>#REF!</v>
      </c>
      <c r="N106" s="100" t="s">
        <v>382</v>
      </c>
      <c r="O106" s="100"/>
    </row>
    <row r="107" s="152" customFormat="1" ht="48" spans="1:15">
      <c r="A107" s="100">
        <v>103</v>
      </c>
      <c r="B107" s="100" t="s">
        <v>383</v>
      </c>
      <c r="C107" s="100" t="s">
        <v>384</v>
      </c>
      <c r="D107" s="100" t="s">
        <v>385</v>
      </c>
      <c r="E107" s="100" t="s">
        <v>29</v>
      </c>
      <c r="F107" s="175">
        <v>8</v>
      </c>
      <c r="G107" s="176">
        <f>50+150+200+100+100+300+150+150+80+100+100</f>
        <v>1480</v>
      </c>
      <c r="H107" s="158"/>
      <c r="I107" s="160"/>
      <c r="J107" s="169" t="e">
        <f t="shared" si="15"/>
        <v>#REF!</v>
      </c>
      <c r="K107" s="170" t="e">
        <f t="shared" si="12"/>
        <v>#REF!</v>
      </c>
      <c r="L107" s="169" t="e">
        <f t="shared" si="14"/>
        <v>#REF!</v>
      </c>
      <c r="M107" s="170" t="e">
        <f t="shared" si="13"/>
        <v>#REF!</v>
      </c>
      <c r="N107" s="100" t="s">
        <v>386</v>
      </c>
      <c r="O107" s="100"/>
    </row>
    <row r="108" s="152" customFormat="1" ht="24.75" spans="1:15">
      <c r="A108" s="100">
        <v>104</v>
      </c>
      <c r="B108" s="100" t="s">
        <v>387</v>
      </c>
      <c r="C108" s="100" t="s">
        <v>388</v>
      </c>
      <c r="D108" s="100" t="s">
        <v>389</v>
      </c>
      <c r="E108" s="100" t="s">
        <v>29</v>
      </c>
      <c r="F108" s="175">
        <v>8</v>
      </c>
      <c r="G108" s="176">
        <f>1000+1000</f>
        <v>2000</v>
      </c>
      <c r="H108" s="158"/>
      <c r="I108" s="160"/>
      <c r="J108" s="169" t="e">
        <f t="shared" si="15"/>
        <v>#REF!</v>
      </c>
      <c r="K108" s="170" t="e">
        <f t="shared" si="12"/>
        <v>#REF!</v>
      </c>
      <c r="L108" s="169" t="e">
        <f t="shared" si="14"/>
        <v>#REF!</v>
      </c>
      <c r="M108" s="170" t="e">
        <f t="shared" si="13"/>
        <v>#REF!</v>
      </c>
      <c r="N108" s="100" t="s">
        <v>390</v>
      </c>
      <c r="O108" s="100"/>
    </row>
    <row r="109" s="152" customFormat="1" ht="24" spans="1:15">
      <c r="A109" s="100">
        <v>105</v>
      </c>
      <c r="B109" s="100" t="s">
        <v>391</v>
      </c>
      <c r="C109" s="100" t="s">
        <v>392</v>
      </c>
      <c r="D109" s="100" t="s">
        <v>393</v>
      </c>
      <c r="E109" s="100" t="s">
        <v>29</v>
      </c>
      <c r="F109" s="100">
        <v>16</v>
      </c>
      <c r="G109" s="171">
        <v>3000</v>
      </c>
      <c r="H109" s="158"/>
      <c r="I109" s="160"/>
      <c r="J109" s="169" t="e">
        <f t="shared" si="15"/>
        <v>#REF!</v>
      </c>
      <c r="K109" s="170" t="e">
        <f t="shared" si="12"/>
        <v>#REF!</v>
      </c>
      <c r="L109" s="169" t="e">
        <f t="shared" si="14"/>
        <v>#REF!</v>
      </c>
      <c r="M109" s="170" t="e">
        <f t="shared" si="13"/>
        <v>#REF!</v>
      </c>
      <c r="N109" s="177" t="s">
        <v>394</v>
      </c>
      <c r="O109" s="100"/>
    </row>
    <row r="110" s="152" customFormat="1" ht="25" customHeight="1" spans="1:16">
      <c r="A110" s="100">
        <v>106</v>
      </c>
      <c r="B110" s="100" t="s">
        <v>395</v>
      </c>
      <c r="C110" s="100" t="s">
        <v>396</v>
      </c>
      <c r="D110" s="100" t="s">
        <v>397</v>
      </c>
      <c r="E110" s="100" t="s">
        <v>29</v>
      </c>
      <c r="F110" s="100">
        <v>10</v>
      </c>
      <c r="G110" s="160">
        <v>1500</v>
      </c>
      <c r="H110" s="158"/>
      <c r="I110" s="160"/>
      <c r="J110" s="169" t="e">
        <f t="shared" si="15"/>
        <v>#REF!</v>
      </c>
      <c r="K110" s="170" t="e">
        <f t="shared" si="12"/>
        <v>#REF!</v>
      </c>
      <c r="L110" s="169" t="e">
        <f t="shared" si="14"/>
        <v>#REF!</v>
      </c>
      <c r="M110" s="170" t="e">
        <f t="shared" si="13"/>
        <v>#REF!</v>
      </c>
      <c r="N110" s="100" t="s">
        <v>398</v>
      </c>
      <c r="O110" s="100"/>
      <c r="P110" s="152">
        <f>200+400+1000+300</f>
        <v>1900</v>
      </c>
    </row>
    <row r="111" s="152" customFormat="1" ht="27" customHeight="1" spans="1:15">
      <c r="A111" s="100">
        <v>107</v>
      </c>
      <c r="B111" s="100" t="s">
        <v>399</v>
      </c>
      <c r="C111" s="100" t="s">
        <v>400</v>
      </c>
      <c r="D111" s="100" t="s">
        <v>401</v>
      </c>
      <c r="E111" s="100" t="s">
        <v>29</v>
      </c>
      <c r="F111" s="100">
        <v>16</v>
      </c>
      <c r="G111" s="160">
        <v>4900</v>
      </c>
      <c r="H111" s="158"/>
      <c r="I111" s="160"/>
      <c r="J111" s="169" t="e">
        <f t="shared" si="15"/>
        <v>#REF!</v>
      </c>
      <c r="K111" s="170" t="e">
        <f t="shared" si="12"/>
        <v>#REF!</v>
      </c>
      <c r="L111" s="169" t="e">
        <f t="shared" si="14"/>
        <v>#REF!</v>
      </c>
      <c r="M111" s="170" t="e">
        <f t="shared" si="13"/>
        <v>#REF!</v>
      </c>
      <c r="N111" s="100" t="s">
        <v>402</v>
      </c>
      <c r="O111" s="100"/>
    </row>
    <row r="112" s="152" customFormat="1" ht="48" spans="1:15">
      <c r="A112" s="100">
        <v>108</v>
      </c>
      <c r="B112" s="100" t="s">
        <v>403</v>
      </c>
      <c r="C112" s="100" t="s">
        <v>404</v>
      </c>
      <c r="D112" s="100" t="s">
        <v>385</v>
      </c>
      <c r="E112" s="100" t="s">
        <v>29</v>
      </c>
      <c r="F112" s="175">
        <v>8</v>
      </c>
      <c r="G112" s="176">
        <f>50+150+150+200+100+100+300+150+150+80+100+100</f>
        <v>1630</v>
      </c>
      <c r="H112" s="158"/>
      <c r="I112" s="160"/>
      <c r="J112" s="169" t="e">
        <f t="shared" si="15"/>
        <v>#REF!</v>
      </c>
      <c r="K112" s="170" t="e">
        <f t="shared" si="12"/>
        <v>#REF!</v>
      </c>
      <c r="L112" s="169" t="e">
        <f t="shared" si="14"/>
        <v>#REF!</v>
      </c>
      <c r="M112" s="170" t="e">
        <f t="shared" si="13"/>
        <v>#REF!</v>
      </c>
      <c r="N112" s="100" t="s">
        <v>405</v>
      </c>
      <c r="O112" s="100"/>
    </row>
    <row r="113" s="152" customFormat="1" ht="60" spans="1:15">
      <c r="A113" s="100">
        <v>109</v>
      </c>
      <c r="B113" s="100" t="s">
        <v>406</v>
      </c>
      <c r="C113" s="100" t="s">
        <v>407</v>
      </c>
      <c r="D113" s="100" t="s">
        <v>408</v>
      </c>
      <c r="E113" s="100" t="s">
        <v>29</v>
      </c>
      <c r="F113" s="175">
        <v>8</v>
      </c>
      <c r="G113" s="176">
        <f>100+100+100+500+500+600+400+300+400+400</f>
        <v>3400</v>
      </c>
      <c r="H113" s="158"/>
      <c r="I113" s="160"/>
      <c r="J113" s="169" t="e">
        <f t="shared" si="15"/>
        <v>#REF!</v>
      </c>
      <c r="K113" s="170" t="e">
        <f t="shared" si="12"/>
        <v>#REF!</v>
      </c>
      <c r="L113" s="169" t="e">
        <f t="shared" si="14"/>
        <v>#REF!</v>
      </c>
      <c r="M113" s="170" t="e">
        <f t="shared" si="13"/>
        <v>#REF!</v>
      </c>
      <c r="N113" s="100" t="s">
        <v>409</v>
      </c>
      <c r="O113" s="100"/>
    </row>
    <row r="114" s="152" customFormat="1" ht="25.5" spans="1:15">
      <c r="A114" s="100">
        <v>110</v>
      </c>
      <c r="B114" s="100" t="s">
        <v>410</v>
      </c>
      <c r="C114" s="100" t="s">
        <v>411</v>
      </c>
      <c r="D114" s="100" t="s">
        <v>412</v>
      </c>
      <c r="E114" s="100" t="s">
        <v>29</v>
      </c>
      <c r="F114" s="175">
        <v>8</v>
      </c>
      <c r="G114" s="176">
        <f>400*2+400*2+200+200</f>
        <v>2000</v>
      </c>
      <c r="H114" s="158"/>
      <c r="I114" s="160"/>
      <c r="J114" s="169" t="e">
        <f t="shared" si="15"/>
        <v>#REF!</v>
      </c>
      <c r="K114" s="170" t="e">
        <f t="shared" si="12"/>
        <v>#REF!</v>
      </c>
      <c r="L114" s="169" t="e">
        <f t="shared" si="14"/>
        <v>#REF!</v>
      </c>
      <c r="M114" s="170" t="e">
        <f t="shared" si="13"/>
        <v>#REF!</v>
      </c>
      <c r="N114" s="100" t="s">
        <v>413</v>
      </c>
      <c r="O114" s="100"/>
    </row>
    <row r="115" s="152" customFormat="1" ht="38.25" spans="1:15">
      <c r="A115" s="100">
        <v>111</v>
      </c>
      <c r="B115" s="100" t="s">
        <v>414</v>
      </c>
      <c r="C115" s="100" t="s">
        <v>415</v>
      </c>
      <c r="D115" s="100" t="s">
        <v>416</v>
      </c>
      <c r="E115" s="100" t="s">
        <v>29</v>
      </c>
      <c r="F115" s="175">
        <v>8</v>
      </c>
      <c r="G115" s="176">
        <f>400+400+300+300+400+400+100</f>
        <v>2300</v>
      </c>
      <c r="H115" s="158"/>
      <c r="I115" s="160"/>
      <c r="J115" s="169" t="e">
        <f t="shared" si="15"/>
        <v>#REF!</v>
      </c>
      <c r="K115" s="170" t="e">
        <f t="shared" si="12"/>
        <v>#REF!</v>
      </c>
      <c r="L115" s="169" t="e">
        <f t="shared" si="14"/>
        <v>#REF!</v>
      </c>
      <c r="M115" s="170" t="e">
        <f t="shared" si="13"/>
        <v>#REF!</v>
      </c>
      <c r="N115" s="100" t="s">
        <v>417</v>
      </c>
      <c r="O115" s="100"/>
    </row>
    <row r="116" s="152" customFormat="1" ht="36" spans="1:15">
      <c r="A116" s="100">
        <v>112</v>
      </c>
      <c r="B116" s="100" t="s">
        <v>418</v>
      </c>
      <c r="C116" s="100" t="s">
        <v>419</v>
      </c>
      <c r="D116" s="100" t="s">
        <v>420</v>
      </c>
      <c r="E116" s="99" t="s">
        <v>29</v>
      </c>
      <c r="F116" s="175">
        <v>6</v>
      </c>
      <c r="G116" s="176">
        <f>100+400+300+600+800</f>
        <v>2200</v>
      </c>
      <c r="H116" s="158"/>
      <c r="I116" s="160"/>
      <c r="J116" s="169" t="e">
        <f t="shared" si="15"/>
        <v>#REF!</v>
      </c>
      <c r="K116" s="170" t="e">
        <f t="shared" si="12"/>
        <v>#REF!</v>
      </c>
      <c r="L116" s="169" t="e">
        <f t="shared" si="14"/>
        <v>#REF!</v>
      </c>
      <c r="M116" s="170" t="e">
        <f t="shared" si="13"/>
        <v>#REF!</v>
      </c>
      <c r="N116" s="178" t="s">
        <v>421</v>
      </c>
      <c r="O116" s="100"/>
    </row>
    <row r="117" s="152" customFormat="1" ht="36" spans="1:15">
      <c r="A117" s="100">
        <v>113</v>
      </c>
      <c r="B117" s="100" t="s">
        <v>422</v>
      </c>
      <c r="C117" s="100" t="s">
        <v>423</v>
      </c>
      <c r="D117" s="100" t="s">
        <v>424</v>
      </c>
      <c r="E117" s="100" t="s">
        <v>29</v>
      </c>
      <c r="F117" s="175">
        <v>6</v>
      </c>
      <c r="G117" s="176">
        <f>100+500+800+800</f>
        <v>2200</v>
      </c>
      <c r="H117" s="158"/>
      <c r="I117" s="160"/>
      <c r="J117" s="169" t="e">
        <f t="shared" si="15"/>
        <v>#REF!</v>
      </c>
      <c r="K117" s="170" t="e">
        <f t="shared" si="12"/>
        <v>#REF!</v>
      </c>
      <c r="L117" s="169" t="e">
        <f t="shared" si="14"/>
        <v>#REF!</v>
      </c>
      <c r="M117" s="170" t="e">
        <f t="shared" si="13"/>
        <v>#REF!</v>
      </c>
      <c r="N117" s="100" t="s">
        <v>425</v>
      </c>
      <c r="O117" s="100"/>
    </row>
    <row r="118" s="152" customFormat="1" ht="36" spans="1:15">
      <c r="A118" s="100">
        <v>114</v>
      </c>
      <c r="B118" s="100" t="s">
        <v>426</v>
      </c>
      <c r="C118" s="100" t="s">
        <v>427</v>
      </c>
      <c r="D118" s="100" t="s">
        <v>428</v>
      </c>
      <c r="E118" s="100" t="s">
        <v>29</v>
      </c>
      <c r="F118" s="175">
        <v>6</v>
      </c>
      <c r="G118" s="176">
        <f>300+500+300+200+200+500+800</f>
        <v>2800</v>
      </c>
      <c r="H118" s="158"/>
      <c r="I118" s="160"/>
      <c r="J118" s="169" t="e">
        <f t="shared" si="15"/>
        <v>#REF!</v>
      </c>
      <c r="K118" s="170" t="e">
        <f t="shared" si="12"/>
        <v>#REF!</v>
      </c>
      <c r="L118" s="169" t="e">
        <f t="shared" si="14"/>
        <v>#REF!</v>
      </c>
      <c r="M118" s="170" t="e">
        <f t="shared" si="13"/>
        <v>#REF!</v>
      </c>
      <c r="N118" s="100" t="s">
        <v>429</v>
      </c>
      <c r="O118" s="100"/>
    </row>
    <row r="119" s="152" customFormat="1" ht="25.5" spans="1:15">
      <c r="A119" s="100">
        <v>115</v>
      </c>
      <c r="B119" s="100" t="s">
        <v>430</v>
      </c>
      <c r="C119" s="100" t="s">
        <v>431</v>
      </c>
      <c r="D119" s="100" t="s">
        <v>432</v>
      </c>
      <c r="E119" s="100" t="s">
        <v>29</v>
      </c>
      <c r="F119" s="175">
        <v>1</v>
      </c>
      <c r="G119" s="176">
        <f>50+200+500</f>
        <v>750</v>
      </c>
      <c r="H119" s="158"/>
      <c r="I119" s="160"/>
      <c r="J119" s="169" t="e">
        <f t="shared" si="15"/>
        <v>#REF!</v>
      </c>
      <c r="K119" s="170" t="e">
        <f t="shared" si="12"/>
        <v>#REF!</v>
      </c>
      <c r="L119" s="169" t="e">
        <f t="shared" si="14"/>
        <v>#REF!</v>
      </c>
      <c r="M119" s="170" t="e">
        <f t="shared" si="13"/>
        <v>#REF!</v>
      </c>
      <c r="N119" s="100" t="s">
        <v>433</v>
      </c>
      <c r="O119" s="100"/>
    </row>
    <row r="120" s="152" customFormat="1" ht="84" spans="1:15">
      <c r="A120" s="100">
        <v>116</v>
      </c>
      <c r="B120" s="100" t="s">
        <v>434</v>
      </c>
      <c r="C120" s="100" t="s">
        <v>435</v>
      </c>
      <c r="D120" s="100" t="s">
        <v>436</v>
      </c>
      <c r="E120" s="100" t="s">
        <v>29</v>
      </c>
      <c r="F120" s="175">
        <v>6</v>
      </c>
      <c r="G120" s="176">
        <f>1000+1000+1000+1000+1000+1300+1000+1000+1000+1000+1000+1000+1000+1000+500</f>
        <v>14800</v>
      </c>
      <c r="H120" s="158"/>
      <c r="I120" s="160"/>
      <c r="J120" s="169" t="e">
        <f t="shared" si="15"/>
        <v>#REF!</v>
      </c>
      <c r="K120" s="170" t="e">
        <f t="shared" si="12"/>
        <v>#REF!</v>
      </c>
      <c r="L120" s="169" t="e">
        <f t="shared" si="14"/>
        <v>#REF!</v>
      </c>
      <c r="M120" s="170" t="e">
        <f t="shared" si="13"/>
        <v>#REF!</v>
      </c>
      <c r="N120" s="100" t="s">
        <v>437</v>
      </c>
      <c r="O120" s="100"/>
    </row>
    <row r="121" s="152" customFormat="1" ht="25.5" spans="1:15">
      <c r="A121" s="100">
        <v>117</v>
      </c>
      <c r="B121" s="100" t="s">
        <v>438</v>
      </c>
      <c r="C121" s="100" t="s">
        <v>439</v>
      </c>
      <c r="D121" s="100" t="s">
        <v>440</v>
      </c>
      <c r="E121" s="100" t="s">
        <v>29</v>
      </c>
      <c r="F121" s="175">
        <v>1</v>
      </c>
      <c r="G121" s="176">
        <f>1000+1000+1000</f>
        <v>3000</v>
      </c>
      <c r="H121" s="158"/>
      <c r="I121" s="160"/>
      <c r="J121" s="169" t="e">
        <f t="shared" si="15"/>
        <v>#REF!</v>
      </c>
      <c r="K121" s="170" t="e">
        <f t="shared" si="12"/>
        <v>#REF!</v>
      </c>
      <c r="L121" s="169" t="e">
        <f t="shared" si="14"/>
        <v>#REF!</v>
      </c>
      <c r="M121" s="170" t="e">
        <f t="shared" si="13"/>
        <v>#REF!</v>
      </c>
      <c r="N121" s="100" t="s">
        <v>441</v>
      </c>
      <c r="O121" s="100"/>
    </row>
    <row r="122" s="152" customFormat="1" ht="24" customHeight="1" spans="1:15">
      <c r="A122" s="100">
        <v>118</v>
      </c>
      <c r="B122" s="100" t="s">
        <v>442</v>
      </c>
      <c r="C122" s="100" t="s">
        <v>443</v>
      </c>
      <c r="D122" s="100" t="s">
        <v>444</v>
      </c>
      <c r="E122" s="100" t="s">
        <v>29</v>
      </c>
      <c r="F122" s="175">
        <v>6</v>
      </c>
      <c r="G122" s="176">
        <f>1000+1000</f>
        <v>2000</v>
      </c>
      <c r="H122" s="158"/>
      <c r="I122" s="160"/>
      <c r="J122" s="169" t="e">
        <f t="shared" si="15"/>
        <v>#REF!</v>
      </c>
      <c r="K122" s="170" t="e">
        <f t="shared" si="12"/>
        <v>#REF!</v>
      </c>
      <c r="L122" s="169" t="e">
        <f t="shared" si="14"/>
        <v>#REF!</v>
      </c>
      <c r="M122" s="170" t="e">
        <f t="shared" si="13"/>
        <v>#REF!</v>
      </c>
      <c r="N122" s="100" t="s">
        <v>445</v>
      </c>
      <c r="O122" s="100"/>
    </row>
    <row r="123" s="152" customFormat="1" ht="27" customHeight="1" spans="1:15">
      <c r="A123" s="100">
        <v>119</v>
      </c>
      <c r="B123" s="100" t="s">
        <v>446</v>
      </c>
      <c r="C123" s="100" t="s">
        <v>447</v>
      </c>
      <c r="D123" s="100" t="s">
        <v>448</v>
      </c>
      <c r="E123" s="100" t="s">
        <v>29</v>
      </c>
      <c r="F123" s="175">
        <v>6</v>
      </c>
      <c r="G123" s="176">
        <f>1000+1000</f>
        <v>2000</v>
      </c>
      <c r="H123" s="158"/>
      <c r="I123" s="160"/>
      <c r="J123" s="169" t="e">
        <f t="shared" si="15"/>
        <v>#REF!</v>
      </c>
      <c r="K123" s="170" t="e">
        <f t="shared" si="12"/>
        <v>#REF!</v>
      </c>
      <c r="L123" s="169" t="e">
        <f t="shared" si="14"/>
        <v>#REF!</v>
      </c>
      <c r="M123" s="170" t="e">
        <f t="shared" si="13"/>
        <v>#REF!</v>
      </c>
      <c r="N123" s="100" t="s">
        <v>449</v>
      </c>
      <c r="O123" s="100"/>
    </row>
    <row r="124" s="152" customFormat="1" ht="36" spans="1:15">
      <c r="A124" s="100">
        <v>120</v>
      </c>
      <c r="B124" s="100" t="s">
        <v>450</v>
      </c>
      <c r="C124" s="100" t="s">
        <v>451</v>
      </c>
      <c r="D124" s="100" t="s">
        <v>452</v>
      </c>
      <c r="E124" s="100" t="s">
        <v>29</v>
      </c>
      <c r="F124" s="175">
        <v>1</v>
      </c>
      <c r="G124" s="176">
        <f>500+1000+1000+1000+1000</f>
        <v>4500</v>
      </c>
      <c r="H124" s="158"/>
      <c r="I124" s="160"/>
      <c r="J124" s="169" t="e">
        <f t="shared" si="15"/>
        <v>#REF!</v>
      </c>
      <c r="K124" s="170" t="e">
        <f t="shared" si="12"/>
        <v>#REF!</v>
      </c>
      <c r="L124" s="169" t="e">
        <f t="shared" si="14"/>
        <v>#REF!</v>
      </c>
      <c r="M124" s="170" t="e">
        <f t="shared" si="13"/>
        <v>#REF!</v>
      </c>
      <c r="N124" s="100" t="s">
        <v>453</v>
      </c>
      <c r="O124" s="100"/>
    </row>
    <row r="125" s="152" customFormat="1" ht="60" spans="1:15">
      <c r="A125" s="100">
        <v>121</v>
      </c>
      <c r="B125" s="100" t="s">
        <v>454</v>
      </c>
      <c r="C125" s="100" t="s">
        <v>455</v>
      </c>
      <c r="D125" s="100" t="s">
        <v>456</v>
      </c>
      <c r="E125" s="100" t="s">
        <v>29</v>
      </c>
      <c r="F125" s="175">
        <v>8</v>
      </c>
      <c r="G125" s="176">
        <f>1000+1000+1000+1000+1000+1000+1000+1000+1000</f>
        <v>9000</v>
      </c>
      <c r="H125" s="158"/>
      <c r="I125" s="160"/>
      <c r="J125" s="169" t="e">
        <f t="shared" si="15"/>
        <v>#REF!</v>
      </c>
      <c r="K125" s="170" t="e">
        <f t="shared" si="12"/>
        <v>#REF!</v>
      </c>
      <c r="L125" s="169" t="e">
        <f t="shared" si="14"/>
        <v>#REF!</v>
      </c>
      <c r="M125" s="170" t="e">
        <f t="shared" si="13"/>
        <v>#REF!</v>
      </c>
      <c r="N125" s="100" t="s">
        <v>457</v>
      </c>
      <c r="O125" s="100"/>
    </row>
    <row r="126" s="152" customFormat="1" ht="36" spans="1:15">
      <c r="A126" s="100">
        <v>122</v>
      </c>
      <c r="B126" s="100" t="s">
        <v>458</v>
      </c>
      <c r="C126" s="100" t="s">
        <v>201</v>
      </c>
      <c r="D126" s="100" t="s">
        <v>459</v>
      </c>
      <c r="E126" s="100" t="s">
        <v>29</v>
      </c>
      <c r="F126" s="175">
        <v>16</v>
      </c>
      <c r="G126" s="176">
        <v>1200</v>
      </c>
      <c r="H126" s="158"/>
      <c r="I126" s="160"/>
      <c r="J126" s="169" t="e">
        <f t="shared" si="15"/>
        <v>#REF!</v>
      </c>
      <c r="K126" s="170" t="e">
        <f t="shared" si="12"/>
        <v>#REF!</v>
      </c>
      <c r="L126" s="169" t="e">
        <f t="shared" si="14"/>
        <v>#REF!</v>
      </c>
      <c r="M126" s="170" t="e">
        <f t="shared" si="13"/>
        <v>#REF!</v>
      </c>
      <c r="N126" s="100" t="s">
        <v>460</v>
      </c>
      <c r="O126" s="100"/>
    </row>
    <row r="127" s="152" customFormat="1" ht="30" customHeight="1" spans="1:15">
      <c r="A127" s="100">
        <v>123</v>
      </c>
      <c r="B127" s="100" t="s">
        <v>461</v>
      </c>
      <c r="C127" s="100" t="s">
        <v>462</v>
      </c>
      <c r="D127" s="100" t="s">
        <v>463</v>
      </c>
      <c r="E127" s="100" t="s">
        <v>29</v>
      </c>
      <c r="F127" s="175">
        <v>5</v>
      </c>
      <c r="G127" s="176">
        <v>1000</v>
      </c>
      <c r="H127" s="158"/>
      <c r="I127" s="160"/>
      <c r="J127" s="169" t="e">
        <f t="shared" si="15"/>
        <v>#REF!</v>
      </c>
      <c r="K127" s="170" t="e">
        <f t="shared" si="12"/>
        <v>#REF!</v>
      </c>
      <c r="L127" s="169" t="e">
        <f t="shared" si="14"/>
        <v>#REF!</v>
      </c>
      <c r="M127" s="170" t="e">
        <f t="shared" si="13"/>
        <v>#REF!</v>
      </c>
      <c r="N127" s="178" t="s">
        <v>464</v>
      </c>
      <c r="O127" s="100"/>
    </row>
    <row r="128" s="152" customFormat="1" ht="48" spans="1:15">
      <c r="A128" s="100">
        <v>124</v>
      </c>
      <c r="B128" s="100" t="s">
        <v>465</v>
      </c>
      <c r="C128" s="100" t="s">
        <v>466</v>
      </c>
      <c r="D128" s="100" t="s">
        <v>456</v>
      </c>
      <c r="E128" s="99" t="s">
        <v>29</v>
      </c>
      <c r="F128" s="175">
        <v>3</v>
      </c>
      <c r="G128" s="176">
        <f>1000+1000+1000+1000+1300+1000+1000+1000+1000</f>
        <v>9300</v>
      </c>
      <c r="H128" s="158"/>
      <c r="I128" s="160"/>
      <c r="J128" s="169" t="e">
        <f t="shared" si="15"/>
        <v>#REF!</v>
      </c>
      <c r="K128" s="170" t="e">
        <f t="shared" si="12"/>
        <v>#REF!</v>
      </c>
      <c r="L128" s="169" t="e">
        <f t="shared" si="14"/>
        <v>#REF!</v>
      </c>
      <c r="M128" s="170" t="e">
        <f t="shared" si="13"/>
        <v>#REF!</v>
      </c>
      <c r="N128" s="178" t="s">
        <v>467</v>
      </c>
      <c r="O128" s="100"/>
    </row>
    <row r="129" s="152" customFormat="1" ht="36" spans="1:16">
      <c r="A129" s="100">
        <v>125</v>
      </c>
      <c r="B129" s="100" t="s">
        <v>468</v>
      </c>
      <c r="C129" s="100" t="s">
        <v>469</v>
      </c>
      <c r="D129" s="100" t="s">
        <v>470</v>
      </c>
      <c r="E129" s="100" t="s">
        <v>230</v>
      </c>
      <c r="F129" s="175">
        <v>8</v>
      </c>
      <c r="G129" s="176">
        <v>4950</v>
      </c>
      <c r="H129" s="158"/>
      <c r="I129" s="160"/>
      <c r="J129" s="169" t="e">
        <f t="shared" si="15"/>
        <v>#REF!</v>
      </c>
      <c r="K129" s="170" t="e">
        <f t="shared" si="12"/>
        <v>#REF!</v>
      </c>
      <c r="L129" s="169" t="e">
        <f t="shared" si="14"/>
        <v>#REF!</v>
      </c>
      <c r="M129" s="170" t="e">
        <f t="shared" si="13"/>
        <v>#REF!</v>
      </c>
      <c r="N129" s="178" t="s">
        <v>471</v>
      </c>
      <c r="O129" s="180"/>
      <c r="P129" s="152">
        <f>600+600+150+750+750+1100+300+750</f>
        <v>5000</v>
      </c>
    </row>
    <row r="130" s="152" customFormat="1" ht="24" customHeight="1" spans="1:15">
      <c r="A130" s="100">
        <v>126</v>
      </c>
      <c r="B130" s="100" t="s">
        <v>472</v>
      </c>
      <c r="C130" s="100" t="s">
        <v>473</v>
      </c>
      <c r="D130" s="100" t="s">
        <v>474</v>
      </c>
      <c r="E130" s="100" t="s">
        <v>29</v>
      </c>
      <c r="F130" s="100">
        <v>6</v>
      </c>
      <c r="G130" s="100">
        <v>800</v>
      </c>
      <c r="H130" s="158"/>
      <c r="I130" s="160"/>
      <c r="J130" s="169" t="e">
        <f t="shared" si="15"/>
        <v>#REF!</v>
      </c>
      <c r="K130" s="170" t="e">
        <f t="shared" si="12"/>
        <v>#REF!</v>
      </c>
      <c r="L130" s="169" t="e">
        <f t="shared" si="14"/>
        <v>#REF!</v>
      </c>
      <c r="M130" s="170" t="e">
        <f t="shared" si="13"/>
        <v>#REF!</v>
      </c>
      <c r="N130" s="100" t="s">
        <v>475</v>
      </c>
      <c r="O130" s="100"/>
    </row>
    <row r="131" s="152" customFormat="1" ht="27" customHeight="1" spans="1:15">
      <c r="A131" s="100">
        <v>127</v>
      </c>
      <c r="B131" s="99" t="s">
        <v>476</v>
      </c>
      <c r="C131" s="100" t="s">
        <v>477</v>
      </c>
      <c r="D131" s="100" t="s">
        <v>478</v>
      </c>
      <c r="E131" s="99" t="s">
        <v>29</v>
      </c>
      <c r="F131" s="100">
        <v>2</v>
      </c>
      <c r="G131" s="100">
        <f>900+500+200</f>
        <v>1600</v>
      </c>
      <c r="H131" s="158"/>
      <c r="I131" s="160"/>
      <c r="J131" s="169" t="e">
        <f t="shared" si="15"/>
        <v>#REF!</v>
      </c>
      <c r="K131" s="170" t="e">
        <f t="shared" si="12"/>
        <v>#REF!</v>
      </c>
      <c r="L131" s="169" t="e">
        <f t="shared" si="14"/>
        <v>#REF!</v>
      </c>
      <c r="M131" s="170" t="e">
        <f t="shared" si="13"/>
        <v>#REF!</v>
      </c>
      <c r="N131" s="100" t="s">
        <v>479</v>
      </c>
      <c r="O131" s="100"/>
    </row>
    <row r="132" s="152" customFormat="1" ht="54" spans="1:15">
      <c r="A132" s="100">
        <v>128</v>
      </c>
      <c r="B132" s="172" t="s">
        <v>480</v>
      </c>
      <c r="C132" s="172" t="s">
        <v>481</v>
      </c>
      <c r="D132" s="179" t="s">
        <v>482</v>
      </c>
      <c r="E132" s="99" t="s">
        <v>29</v>
      </c>
      <c r="F132" s="179">
        <v>2</v>
      </c>
      <c r="G132" s="100">
        <f>100+100+300+600</f>
        <v>1100</v>
      </c>
      <c r="H132" s="158"/>
      <c r="I132" s="160"/>
      <c r="J132" s="169" t="e">
        <f t="shared" si="15"/>
        <v>#REF!</v>
      </c>
      <c r="K132" s="170" t="e">
        <f t="shared" si="12"/>
        <v>#REF!</v>
      </c>
      <c r="L132" s="169" t="e">
        <f t="shared" si="14"/>
        <v>#REF!</v>
      </c>
      <c r="M132" s="170" t="e">
        <f t="shared" si="13"/>
        <v>#REF!</v>
      </c>
      <c r="N132" s="178" t="s">
        <v>483</v>
      </c>
      <c r="O132" s="179"/>
    </row>
    <row r="133" s="152" customFormat="1" ht="23" customHeight="1" spans="1:15">
      <c r="A133" s="100">
        <v>129</v>
      </c>
      <c r="B133" s="172" t="s">
        <v>484</v>
      </c>
      <c r="C133" s="172" t="s">
        <v>485</v>
      </c>
      <c r="D133" s="179" t="s">
        <v>486</v>
      </c>
      <c r="E133" s="99" t="s">
        <v>487</v>
      </c>
      <c r="F133" s="179">
        <v>300</v>
      </c>
      <c r="G133" s="100">
        <v>150</v>
      </c>
      <c r="H133" s="158"/>
      <c r="I133" s="160"/>
      <c r="J133" s="169" t="e">
        <f t="shared" si="15"/>
        <v>#REF!</v>
      </c>
      <c r="K133" s="170" t="e">
        <f t="shared" si="12"/>
        <v>#REF!</v>
      </c>
      <c r="L133" s="169" t="e">
        <f t="shared" si="14"/>
        <v>#REF!</v>
      </c>
      <c r="M133" s="170" t="e">
        <f t="shared" si="13"/>
        <v>#REF!</v>
      </c>
      <c r="N133" s="100" t="s">
        <v>488</v>
      </c>
      <c r="O133" s="179"/>
    </row>
    <row r="134" s="153" customFormat="1" ht="24.75" customHeight="1" spans="1:15">
      <c r="A134" s="179" t="s">
        <v>12</v>
      </c>
      <c r="B134" s="165"/>
      <c r="C134" s="165"/>
      <c r="D134" s="165"/>
      <c r="E134" s="165"/>
      <c r="F134" s="165"/>
      <c r="G134" s="165"/>
      <c r="H134" s="165"/>
      <c r="I134" s="173"/>
      <c r="J134" s="173"/>
      <c r="K134" s="173" t="e">
        <f>SUM(K3:K133)</f>
        <v>#REF!</v>
      </c>
      <c r="L134" s="179"/>
      <c r="M134" s="173" t="e">
        <f>SUM(M3:M133)</f>
        <v>#REF!</v>
      </c>
      <c r="N134" s="179"/>
      <c r="O134" s="179"/>
    </row>
    <row r="135" spans="1:25">
      <c r="A135" s="154"/>
      <c r="B135" s="154"/>
      <c r="C135" s="154"/>
      <c r="D135" s="154"/>
      <c r="E135" s="154"/>
      <c r="F135" s="154"/>
      <c r="G135" s="154"/>
      <c r="H135" s="154"/>
      <c r="I135" s="154"/>
      <c r="J135" s="154"/>
      <c r="K135" s="154"/>
      <c r="L135" s="154"/>
      <c r="M135" s="154"/>
      <c r="N135" s="154"/>
      <c r="O135" s="154"/>
      <c r="W135" s="154"/>
      <c r="X135" s="154"/>
      <c r="Y135" s="154"/>
    </row>
    <row r="136" spans="23:25">
      <c r="W136" s="154"/>
      <c r="X136" s="154"/>
      <c r="Y136" s="154"/>
    </row>
    <row r="137" spans="23:25">
      <c r="W137" s="154"/>
      <c r="X137" s="154"/>
      <c r="Y137" s="154"/>
    </row>
  </sheetData>
  <mergeCells count="19">
    <mergeCell ref="A1:O1"/>
    <mergeCell ref="A134:H134"/>
    <mergeCell ref="A13:A14"/>
    <mergeCell ref="A15:A17"/>
    <mergeCell ref="B9:B14"/>
    <mergeCell ref="B15:B17"/>
    <mergeCell ref="B22:B23"/>
    <mergeCell ref="B64:B67"/>
    <mergeCell ref="B68:B70"/>
    <mergeCell ref="C15:C17"/>
    <mergeCell ref="D15:D17"/>
    <mergeCell ref="D64:D67"/>
    <mergeCell ref="D68:D70"/>
    <mergeCell ref="E15:E17"/>
    <mergeCell ref="F15:F17"/>
    <mergeCell ref="G15:G17"/>
    <mergeCell ref="N15:N17"/>
    <mergeCell ref="O15:O17"/>
    <mergeCell ref="O64:O67"/>
  </mergeCells>
  <printOptions horizontalCentered="1"/>
  <pageMargins left="0.554861111111111" right="0.554861111111111" top="0.802777777777778" bottom="0.802777777777778" header="0.302777777777778" footer="0.302777777777778"/>
  <pageSetup paperSize="1" scale="88"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opLeftCell="A13" workbookViewId="0">
      <selection activeCell="J36" sqref="J36"/>
    </sheetView>
  </sheetViews>
  <sheetFormatPr defaultColWidth="9" defaultRowHeight="13.5"/>
  <cols>
    <col min="1" max="1" width="6.5"/>
    <col min="2" max="2" width="11.5" customWidth="1"/>
    <col min="3" max="3" width="19.375" customWidth="1"/>
    <col min="4" max="4" width="33.625" hidden="1" customWidth="1"/>
    <col min="5" max="5" width="27.625" hidden="1" customWidth="1"/>
    <col min="6" max="6" width="5.625"/>
    <col min="7" max="7" width="8.125"/>
    <col min="8" max="8" width="11" hidden="1" customWidth="1"/>
    <col min="9" max="9" width="10.75" style="74"/>
    <col min="10" max="10" width="14.125" style="74" customWidth="1"/>
    <col min="11" max="11" width="9.875" hidden="1" customWidth="1"/>
    <col min="12" max="12" width="19.625" hidden="1" customWidth="1"/>
    <col min="13" max="13" width="21.5" customWidth="1"/>
    <col min="14" max="14" width="18.5"/>
  </cols>
  <sheetData>
    <row r="1" ht="20.25" spans="1:13">
      <c r="A1" s="75" t="s">
        <v>489</v>
      </c>
      <c r="B1" s="123"/>
      <c r="C1" s="123"/>
      <c r="D1" s="124"/>
      <c r="E1" s="124"/>
      <c r="F1" s="123"/>
      <c r="G1" s="123"/>
      <c r="H1" s="125"/>
      <c r="I1" s="144"/>
      <c r="J1" s="144"/>
      <c r="K1" s="124"/>
      <c r="L1" s="124"/>
      <c r="M1" s="123"/>
    </row>
    <row r="2" ht="24" spans="1:13">
      <c r="A2" s="4" t="s">
        <v>2</v>
      </c>
      <c r="B2" s="4" t="s">
        <v>490</v>
      </c>
      <c r="C2" s="4" t="s">
        <v>491</v>
      </c>
      <c r="D2" s="4" t="s">
        <v>15</v>
      </c>
      <c r="E2" s="4" t="s">
        <v>492</v>
      </c>
      <c r="F2" s="4" t="s">
        <v>16</v>
      </c>
      <c r="G2" s="4" t="s">
        <v>493</v>
      </c>
      <c r="H2" s="126" t="s">
        <v>494</v>
      </c>
      <c r="I2" s="23" t="s">
        <v>19</v>
      </c>
      <c r="J2" s="145" t="s">
        <v>20</v>
      </c>
      <c r="K2" s="145" t="s">
        <v>23</v>
      </c>
      <c r="L2" s="4" t="s">
        <v>25</v>
      </c>
      <c r="M2" s="4" t="s">
        <v>5</v>
      </c>
    </row>
    <row r="3" ht="48" spans="1:13">
      <c r="A3" s="127">
        <v>1</v>
      </c>
      <c r="B3" s="128" t="s">
        <v>495</v>
      </c>
      <c r="C3" s="7" t="s">
        <v>496</v>
      </c>
      <c r="D3" s="129" t="s">
        <v>497</v>
      </c>
      <c r="E3" s="130" t="s">
        <v>498</v>
      </c>
      <c r="F3" s="7" t="s">
        <v>499</v>
      </c>
      <c r="G3" s="77">
        <v>105</v>
      </c>
      <c r="H3" s="78">
        <v>500</v>
      </c>
      <c r="I3" s="30"/>
      <c r="J3" s="30"/>
      <c r="K3" s="146"/>
      <c r="L3" s="147"/>
      <c r="M3" s="7"/>
    </row>
    <row r="4" ht="36" spans="1:13">
      <c r="A4" s="131"/>
      <c r="B4" s="132"/>
      <c r="C4" s="7" t="s">
        <v>500</v>
      </c>
      <c r="D4" s="129" t="s">
        <v>501</v>
      </c>
      <c r="E4" s="130" t="s">
        <v>498</v>
      </c>
      <c r="F4" s="7" t="s">
        <v>29</v>
      </c>
      <c r="G4" s="77">
        <v>35</v>
      </c>
      <c r="H4" s="78">
        <v>1500</v>
      </c>
      <c r="I4" s="30"/>
      <c r="J4" s="30"/>
      <c r="K4" s="146"/>
      <c r="L4" s="147"/>
      <c r="M4" s="7"/>
    </row>
    <row r="5" ht="24" spans="1:13">
      <c r="A5" s="131"/>
      <c r="B5" s="132"/>
      <c r="C5" s="7" t="s">
        <v>502</v>
      </c>
      <c r="D5" s="133" t="s">
        <v>503</v>
      </c>
      <c r="E5" s="134" t="s">
        <v>504</v>
      </c>
      <c r="F5" s="7" t="s">
        <v>505</v>
      </c>
      <c r="G5" s="77">
        <v>5</v>
      </c>
      <c r="H5" s="51">
        <v>600</v>
      </c>
      <c r="I5" s="30"/>
      <c r="J5" s="30"/>
      <c r="K5" s="146"/>
      <c r="L5" s="89"/>
      <c r="M5" s="148"/>
    </row>
    <row r="6" spans="1:14">
      <c r="A6" s="131"/>
      <c r="B6" s="132"/>
      <c r="C6" s="7" t="s">
        <v>506</v>
      </c>
      <c r="D6" s="129" t="s">
        <v>507</v>
      </c>
      <c r="E6" s="130" t="s">
        <v>508</v>
      </c>
      <c r="F6" s="7" t="s">
        <v>505</v>
      </c>
      <c r="G6" s="77">
        <v>131</v>
      </c>
      <c r="H6" s="78">
        <v>500</v>
      </c>
      <c r="I6" s="30"/>
      <c r="J6" s="30"/>
      <c r="K6" s="146"/>
      <c r="L6" s="147"/>
      <c r="M6" s="31"/>
      <c r="N6" s="149"/>
    </row>
    <row r="7" spans="1:13">
      <c r="A7" s="131"/>
      <c r="B7" s="132"/>
      <c r="C7" s="7" t="s">
        <v>509</v>
      </c>
      <c r="D7" s="129"/>
      <c r="E7" s="130"/>
      <c r="F7" s="7"/>
      <c r="G7" s="77">
        <v>131</v>
      </c>
      <c r="H7" s="78">
        <v>500</v>
      </c>
      <c r="I7" s="30"/>
      <c r="J7" s="30"/>
      <c r="K7" s="146"/>
      <c r="L7" s="147"/>
      <c r="M7" s="31"/>
    </row>
    <row r="8" ht="36" spans="1:13">
      <c r="A8" s="131"/>
      <c r="B8" s="132"/>
      <c r="C8" s="7" t="s">
        <v>510</v>
      </c>
      <c r="D8" s="129" t="s">
        <v>511</v>
      </c>
      <c r="E8" s="130"/>
      <c r="F8" s="7"/>
      <c r="G8" s="77">
        <v>92</v>
      </c>
      <c r="H8" s="78">
        <v>150</v>
      </c>
      <c r="I8" s="30"/>
      <c r="J8" s="30"/>
      <c r="K8" s="146"/>
      <c r="L8" s="147"/>
      <c r="M8" s="31"/>
    </row>
    <row r="9" ht="42" customHeight="1" spans="1:13">
      <c r="A9" s="131"/>
      <c r="B9" s="132"/>
      <c r="C9" s="7" t="s">
        <v>512</v>
      </c>
      <c r="D9" s="129" t="s">
        <v>513</v>
      </c>
      <c r="E9" s="130" t="s">
        <v>514</v>
      </c>
      <c r="F9" s="7" t="s">
        <v>230</v>
      </c>
      <c r="G9" s="77">
        <v>47</v>
      </c>
      <c r="H9" s="78">
        <v>1200</v>
      </c>
      <c r="I9" s="30"/>
      <c r="J9" s="30"/>
      <c r="K9" s="146"/>
      <c r="L9" s="147"/>
      <c r="M9" s="7"/>
    </row>
    <row r="10" ht="24" spans="1:13">
      <c r="A10" s="131"/>
      <c r="B10" s="132"/>
      <c r="C10" s="7" t="s">
        <v>515</v>
      </c>
      <c r="D10" s="7" t="s">
        <v>516</v>
      </c>
      <c r="E10" s="7" t="s">
        <v>517</v>
      </c>
      <c r="F10" s="7" t="s">
        <v>29</v>
      </c>
      <c r="G10" s="77">
        <v>33</v>
      </c>
      <c r="H10" s="135">
        <v>1000</v>
      </c>
      <c r="I10" s="30"/>
      <c r="J10" s="30"/>
      <c r="K10" s="146"/>
      <c r="L10" s="78"/>
      <c r="M10" s="148"/>
    </row>
    <row r="11" ht="30" customHeight="1" spans="1:13">
      <c r="A11" s="51"/>
      <c r="B11" s="136"/>
      <c r="C11" s="7" t="s">
        <v>518</v>
      </c>
      <c r="D11" s="7" t="s">
        <v>519</v>
      </c>
      <c r="E11" s="7" t="s">
        <v>520</v>
      </c>
      <c r="F11" s="7" t="s">
        <v>29</v>
      </c>
      <c r="G11" s="77">
        <v>14</v>
      </c>
      <c r="H11" s="135">
        <v>2500</v>
      </c>
      <c r="I11" s="30"/>
      <c r="J11" s="30"/>
      <c r="K11" s="146"/>
      <c r="L11" s="78"/>
      <c r="M11" s="148"/>
    </row>
    <row r="12" ht="34" customHeight="1" spans="1:13">
      <c r="A12" s="127">
        <v>2</v>
      </c>
      <c r="B12" s="137" t="s">
        <v>521</v>
      </c>
      <c r="C12" s="7" t="s">
        <v>496</v>
      </c>
      <c r="D12" s="129" t="s">
        <v>497</v>
      </c>
      <c r="E12" s="130" t="s">
        <v>498</v>
      </c>
      <c r="F12" s="7" t="s">
        <v>499</v>
      </c>
      <c r="G12" s="138">
        <v>564</v>
      </c>
      <c r="H12" s="78">
        <v>500</v>
      </c>
      <c r="I12" s="30"/>
      <c r="J12" s="30"/>
      <c r="K12" s="146"/>
      <c r="L12" s="147"/>
      <c r="M12" s="7"/>
    </row>
    <row r="13" ht="36" spans="1:13">
      <c r="A13" s="131"/>
      <c r="B13" s="132"/>
      <c r="C13" s="7" t="s">
        <v>500</v>
      </c>
      <c r="D13" s="129" t="s">
        <v>501</v>
      </c>
      <c r="E13" s="130" t="s">
        <v>498</v>
      </c>
      <c r="F13" s="7" t="s">
        <v>29</v>
      </c>
      <c r="G13" s="138">
        <v>188</v>
      </c>
      <c r="H13" s="78">
        <v>1500</v>
      </c>
      <c r="I13" s="30"/>
      <c r="J13" s="30"/>
      <c r="K13" s="146"/>
      <c r="L13" s="147"/>
      <c r="M13" s="7"/>
    </row>
    <row r="14" ht="24" spans="1:13">
      <c r="A14" s="131"/>
      <c r="B14" s="132"/>
      <c r="C14" s="7" t="s">
        <v>502</v>
      </c>
      <c r="D14" s="133" t="s">
        <v>503</v>
      </c>
      <c r="E14" s="134" t="s">
        <v>504</v>
      </c>
      <c r="F14" s="7" t="s">
        <v>505</v>
      </c>
      <c r="G14" s="77">
        <v>8</v>
      </c>
      <c r="H14" s="51">
        <v>600</v>
      </c>
      <c r="I14" s="30"/>
      <c r="J14" s="30"/>
      <c r="K14" s="146"/>
      <c r="L14" s="89"/>
      <c r="M14" s="148"/>
    </row>
    <row r="15" spans="1:13">
      <c r="A15" s="131"/>
      <c r="B15" s="132"/>
      <c r="C15" s="7" t="s">
        <v>506</v>
      </c>
      <c r="D15" s="129" t="s">
        <v>507</v>
      </c>
      <c r="E15" s="130" t="s">
        <v>508</v>
      </c>
      <c r="F15" s="7" t="s">
        <v>505</v>
      </c>
      <c r="G15" s="138">
        <v>810</v>
      </c>
      <c r="H15" s="78">
        <v>500</v>
      </c>
      <c r="I15" s="30"/>
      <c r="J15" s="30"/>
      <c r="K15" s="146"/>
      <c r="L15" s="147"/>
      <c r="M15" s="31"/>
    </row>
    <row r="16" spans="1:13">
      <c r="A16" s="131"/>
      <c r="B16" s="132"/>
      <c r="C16" s="7" t="s">
        <v>509</v>
      </c>
      <c r="D16" s="129"/>
      <c r="E16" s="130"/>
      <c r="F16" s="7"/>
      <c r="G16" s="138">
        <v>810</v>
      </c>
      <c r="H16" s="78">
        <v>500</v>
      </c>
      <c r="I16" s="30"/>
      <c r="J16" s="30"/>
      <c r="K16" s="146"/>
      <c r="L16" s="147"/>
      <c r="M16" s="31"/>
    </row>
    <row r="17" ht="27" customHeight="1" spans="1:13">
      <c r="A17" s="131"/>
      <c r="B17" s="132"/>
      <c r="C17" s="7" t="s">
        <v>510</v>
      </c>
      <c r="D17" s="129" t="s">
        <v>511</v>
      </c>
      <c r="E17" s="130"/>
      <c r="F17" s="7"/>
      <c r="G17" s="138">
        <v>550</v>
      </c>
      <c r="H17" s="78">
        <v>150</v>
      </c>
      <c r="I17" s="30"/>
      <c r="J17" s="30"/>
      <c r="K17" s="146"/>
      <c r="L17" s="147"/>
      <c r="M17" s="31"/>
    </row>
    <row r="18" ht="84" spans="1:13">
      <c r="A18" s="131"/>
      <c r="B18" s="132"/>
      <c r="C18" s="7" t="s">
        <v>512</v>
      </c>
      <c r="D18" s="129" t="s">
        <v>513</v>
      </c>
      <c r="E18" s="130" t="s">
        <v>514</v>
      </c>
      <c r="F18" s="7" t="s">
        <v>230</v>
      </c>
      <c r="G18" s="138">
        <v>210</v>
      </c>
      <c r="H18" s="78">
        <v>1200</v>
      </c>
      <c r="I18" s="30"/>
      <c r="J18" s="30"/>
      <c r="K18" s="146"/>
      <c r="L18" s="147"/>
      <c r="M18" s="7"/>
    </row>
    <row r="19" ht="24" spans="1:13">
      <c r="A19" s="131"/>
      <c r="B19" s="132"/>
      <c r="C19" s="7" t="s">
        <v>515</v>
      </c>
      <c r="D19" s="7" t="s">
        <v>516</v>
      </c>
      <c r="E19" s="7" t="s">
        <v>517</v>
      </c>
      <c r="F19" s="7" t="s">
        <v>29</v>
      </c>
      <c r="G19" s="138">
        <v>110</v>
      </c>
      <c r="H19" s="135">
        <v>1000</v>
      </c>
      <c r="I19" s="30"/>
      <c r="J19" s="30"/>
      <c r="K19" s="146"/>
      <c r="L19" s="78"/>
      <c r="M19" s="148"/>
    </row>
    <row r="20" ht="27" customHeight="1" spans="1:13">
      <c r="A20" s="51"/>
      <c r="B20" s="136"/>
      <c r="C20" s="7" t="s">
        <v>518</v>
      </c>
      <c r="D20" s="7" t="s">
        <v>519</v>
      </c>
      <c r="E20" s="7" t="s">
        <v>520</v>
      </c>
      <c r="F20" s="7" t="s">
        <v>29</v>
      </c>
      <c r="G20" s="138">
        <v>45</v>
      </c>
      <c r="H20" s="135">
        <v>2500</v>
      </c>
      <c r="I20" s="30"/>
      <c r="J20" s="30"/>
      <c r="K20" s="146"/>
      <c r="L20" s="78"/>
      <c r="M20" s="148"/>
    </row>
    <row r="21" ht="27" customHeight="1" spans="1:13">
      <c r="A21" s="139" t="s">
        <v>12</v>
      </c>
      <c r="B21" s="140"/>
      <c r="C21" s="140"/>
      <c r="D21" s="140"/>
      <c r="E21" s="141"/>
      <c r="F21" s="142"/>
      <c r="G21" s="142"/>
      <c r="H21" s="143"/>
      <c r="I21" s="150"/>
      <c r="J21" s="150"/>
      <c r="K21" s="142"/>
      <c r="L21" s="142"/>
      <c r="M21" s="151"/>
    </row>
  </sheetData>
  <mergeCells count="12">
    <mergeCell ref="A1:M1"/>
    <mergeCell ref="A21:E21"/>
    <mergeCell ref="A3:A11"/>
    <mergeCell ref="A12:A20"/>
    <mergeCell ref="B3:B11"/>
    <mergeCell ref="B12:B20"/>
    <mergeCell ref="D6:D7"/>
    <mergeCell ref="D15:D16"/>
    <mergeCell ref="E6:E8"/>
    <mergeCell ref="E15:E17"/>
    <mergeCell ref="F6:F8"/>
    <mergeCell ref="F15:F17"/>
  </mergeCells>
  <printOptions horizontalCentered="1"/>
  <pageMargins left="0.751388888888889" right="0.751388888888889" top="1" bottom="1" header="0.5" footer="0.5"/>
  <pageSetup paperSize="1" scale="90"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workbookViewId="0">
      <selection activeCell="K20" sqref="K20"/>
    </sheetView>
  </sheetViews>
  <sheetFormatPr defaultColWidth="14" defaultRowHeight="18" customHeight="1"/>
  <cols>
    <col min="1" max="2" width="9.70833333333333" style="91" customWidth="1"/>
    <col min="3" max="3" width="13.7083333333333" style="91" customWidth="1"/>
    <col min="4" max="5" width="9.70833333333333" style="91" hidden="1" customWidth="1"/>
    <col min="6" max="6" width="12.6333333333333" style="91" hidden="1" customWidth="1"/>
    <col min="7" max="8" width="9.70833333333333" style="91" customWidth="1"/>
    <col min="9" max="9" width="9.70833333333333" style="91" hidden="1" customWidth="1"/>
    <col min="10" max="10" width="10.7083333333333" style="92" customWidth="1"/>
    <col min="11" max="11" width="12.375" style="92" customWidth="1"/>
    <col min="12" max="12" width="1.75" style="91" hidden="1" customWidth="1"/>
    <col min="13" max="13" width="16.625" style="91" customWidth="1"/>
    <col min="14" max="16384" width="14" style="91"/>
  </cols>
  <sheetData>
    <row r="1" ht="40" customHeight="1" spans="1:13">
      <c r="A1" s="93" t="s">
        <v>522</v>
      </c>
      <c r="B1" s="93"/>
      <c r="C1" s="93"/>
      <c r="D1" s="93"/>
      <c r="E1" s="93"/>
      <c r="F1" s="93"/>
      <c r="G1" s="93"/>
      <c r="H1" s="93"/>
      <c r="I1" s="93"/>
      <c r="J1" s="107"/>
      <c r="K1" s="107"/>
      <c r="L1" s="93"/>
      <c r="M1" s="93"/>
    </row>
    <row r="2" ht="30" customHeight="1" spans="1:13">
      <c r="A2" s="94" t="s">
        <v>2</v>
      </c>
      <c r="B2" s="95" t="s">
        <v>523</v>
      </c>
      <c r="C2" s="95" t="s">
        <v>524</v>
      </c>
      <c r="D2" s="95" t="s">
        <v>525</v>
      </c>
      <c r="E2" s="95" t="s">
        <v>16</v>
      </c>
      <c r="F2" s="95" t="s">
        <v>15</v>
      </c>
      <c r="G2" s="95" t="s">
        <v>493</v>
      </c>
      <c r="H2" s="95" t="s">
        <v>16</v>
      </c>
      <c r="I2" s="95" t="s">
        <v>526</v>
      </c>
      <c r="J2" s="108" t="s">
        <v>19</v>
      </c>
      <c r="K2" s="108" t="s">
        <v>20</v>
      </c>
      <c r="L2" s="95" t="s">
        <v>25</v>
      </c>
      <c r="M2" s="109" t="s">
        <v>5</v>
      </c>
    </row>
    <row r="3" ht="28" customHeight="1" spans="1:13">
      <c r="A3" s="96">
        <v>1</v>
      </c>
      <c r="B3" s="97" t="s">
        <v>527</v>
      </c>
      <c r="C3" s="97" t="s">
        <v>204</v>
      </c>
      <c r="D3" s="97">
        <v>1</v>
      </c>
      <c r="E3" s="96" t="s">
        <v>29</v>
      </c>
      <c r="F3" s="98" t="s">
        <v>528</v>
      </c>
      <c r="G3" s="97">
        <v>1</v>
      </c>
      <c r="H3" s="96" t="s">
        <v>29</v>
      </c>
      <c r="I3" s="110">
        <v>150</v>
      </c>
      <c r="J3" s="111"/>
      <c r="K3" s="111"/>
      <c r="L3" s="112"/>
      <c r="M3" s="113"/>
    </row>
    <row r="4" ht="30" customHeight="1" spans="1:13">
      <c r="A4" s="99">
        <v>2</v>
      </c>
      <c r="B4" s="100" t="s">
        <v>529</v>
      </c>
      <c r="C4" s="100" t="s">
        <v>530</v>
      </c>
      <c r="D4" s="100">
        <v>1</v>
      </c>
      <c r="E4" s="100" t="s">
        <v>29</v>
      </c>
      <c r="F4" s="101" t="s">
        <v>531</v>
      </c>
      <c r="G4" s="100">
        <v>1</v>
      </c>
      <c r="H4" s="100" t="s">
        <v>29</v>
      </c>
      <c r="I4" s="100">
        <v>1000</v>
      </c>
      <c r="J4" s="111"/>
      <c r="K4" s="114"/>
      <c r="L4" s="115"/>
      <c r="M4" s="116"/>
    </row>
    <row r="5" ht="34" customHeight="1" spans="1:13">
      <c r="A5" s="102"/>
      <c r="B5" s="102"/>
      <c r="C5" s="100" t="s">
        <v>532</v>
      </c>
      <c r="D5" s="100">
        <v>1</v>
      </c>
      <c r="E5" s="100" t="s">
        <v>29</v>
      </c>
      <c r="F5" s="101" t="s">
        <v>531</v>
      </c>
      <c r="G5" s="100">
        <v>1</v>
      </c>
      <c r="H5" s="100" t="s">
        <v>29</v>
      </c>
      <c r="I5" s="100">
        <v>1200</v>
      </c>
      <c r="J5" s="111"/>
      <c r="K5" s="114"/>
      <c r="L5" s="115"/>
      <c r="M5" s="116"/>
    </row>
    <row r="6" ht="38" customHeight="1" spans="1:13">
      <c r="A6" s="99">
        <v>3</v>
      </c>
      <c r="B6" s="100" t="s">
        <v>533</v>
      </c>
      <c r="C6" s="100" t="s">
        <v>534</v>
      </c>
      <c r="D6" s="100">
        <v>106</v>
      </c>
      <c r="E6" s="99" t="s">
        <v>535</v>
      </c>
      <c r="F6" s="101" t="s">
        <v>536</v>
      </c>
      <c r="G6" s="100">
        <v>66</v>
      </c>
      <c r="H6" s="99" t="s">
        <v>535</v>
      </c>
      <c r="I6" s="117">
        <v>150</v>
      </c>
      <c r="J6" s="111"/>
      <c r="K6" s="114"/>
      <c r="L6" s="115"/>
      <c r="M6" s="116"/>
    </row>
    <row r="7" ht="33" customHeight="1" spans="1:13">
      <c r="A7" s="99">
        <v>4</v>
      </c>
      <c r="B7" s="100" t="s">
        <v>537</v>
      </c>
      <c r="C7" s="100" t="s">
        <v>538</v>
      </c>
      <c r="D7" s="100">
        <v>60</v>
      </c>
      <c r="E7" s="99" t="s">
        <v>505</v>
      </c>
      <c r="F7" s="101">
        <v>0.1</v>
      </c>
      <c r="G7" s="100">
        <v>6</v>
      </c>
      <c r="H7" s="99" t="s">
        <v>539</v>
      </c>
      <c r="I7" s="117">
        <v>250</v>
      </c>
      <c r="J7" s="111"/>
      <c r="K7" s="114"/>
      <c r="L7" s="115"/>
      <c r="M7" s="116"/>
    </row>
    <row r="8" ht="13.5" spans="1:13">
      <c r="A8" s="99">
        <v>5</v>
      </c>
      <c r="B8" s="102"/>
      <c r="C8" s="100" t="s">
        <v>540</v>
      </c>
      <c r="D8" s="100">
        <v>60</v>
      </c>
      <c r="E8" s="99" t="s">
        <v>505</v>
      </c>
      <c r="F8" s="101">
        <v>0.1</v>
      </c>
      <c r="G8" s="100">
        <v>6</v>
      </c>
      <c r="H8" s="99" t="s">
        <v>505</v>
      </c>
      <c r="I8" s="117">
        <v>250</v>
      </c>
      <c r="J8" s="111"/>
      <c r="K8" s="114"/>
      <c r="L8" s="115"/>
      <c r="M8" s="116"/>
    </row>
    <row r="9" ht="30" customHeight="1" spans="1:13">
      <c r="A9" s="103" t="s">
        <v>12</v>
      </c>
      <c r="B9" s="104"/>
      <c r="C9" s="105"/>
      <c r="D9" s="106"/>
      <c r="E9" s="106"/>
      <c r="F9" s="106"/>
      <c r="G9" s="106"/>
      <c r="H9" s="106"/>
      <c r="I9" s="118"/>
      <c r="J9" s="119"/>
      <c r="K9" s="120"/>
      <c r="L9" s="121"/>
      <c r="M9" s="122"/>
    </row>
  </sheetData>
  <mergeCells count="5">
    <mergeCell ref="A1:M1"/>
    <mergeCell ref="A9:C9"/>
    <mergeCell ref="A4:A5"/>
    <mergeCell ref="B4:B5"/>
    <mergeCell ref="B7:B8"/>
  </mergeCells>
  <printOptions horizontalCentered="1"/>
  <pageMargins left="0.751388888888889" right="0.751388888888889" top="1" bottom="1" header="0.5" footer="0.5"/>
  <pageSetup paperSize="9" scale="95"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
  <sheetViews>
    <sheetView workbookViewId="0">
      <selection activeCell="C17" sqref="C17"/>
    </sheetView>
  </sheetViews>
  <sheetFormatPr defaultColWidth="9" defaultRowHeight="13.5"/>
  <cols>
    <col min="1" max="1" width="5" customWidth="1"/>
    <col min="2" max="2" width="9.625" customWidth="1"/>
    <col min="3" max="3" width="15.75" customWidth="1"/>
    <col min="4" max="4" width="32.5" hidden="1" customWidth="1"/>
    <col min="5" max="5" width="22.625" hidden="1" customWidth="1"/>
    <col min="6" max="6" width="5.625"/>
    <col min="7" max="7" width="7.125"/>
    <col min="8" max="8" width="8.375" hidden="1" customWidth="1"/>
    <col min="9" max="9" width="8.375" style="74"/>
    <col min="10" max="10" width="12.625" style="74"/>
    <col min="11" max="11" width="16.375" hidden="1" customWidth="1"/>
    <col min="12" max="12" width="17.125" customWidth="1"/>
  </cols>
  <sheetData>
    <row r="1" ht="48" customHeight="1" spans="1:14">
      <c r="A1" s="75" t="s">
        <v>541</v>
      </c>
      <c r="B1" s="75"/>
      <c r="C1" s="75"/>
      <c r="D1" s="75"/>
      <c r="E1" s="75"/>
      <c r="F1" s="75"/>
      <c r="G1" s="75"/>
      <c r="H1" s="75"/>
      <c r="I1" s="85"/>
      <c r="J1" s="85"/>
      <c r="K1" s="75"/>
      <c r="L1" s="75"/>
      <c r="M1" s="86"/>
      <c r="N1" s="84"/>
    </row>
    <row r="2" ht="24.75" spans="1:14">
      <c r="A2" s="4" t="s">
        <v>2</v>
      </c>
      <c r="B2" s="4" t="s">
        <v>490</v>
      </c>
      <c r="C2" s="4" t="s">
        <v>491</v>
      </c>
      <c r="D2" s="4" t="s">
        <v>15</v>
      </c>
      <c r="E2" s="4" t="s">
        <v>492</v>
      </c>
      <c r="F2" s="4" t="s">
        <v>16</v>
      </c>
      <c r="G2" s="4" t="s">
        <v>493</v>
      </c>
      <c r="H2" s="5" t="s">
        <v>542</v>
      </c>
      <c r="I2" s="23" t="s">
        <v>19</v>
      </c>
      <c r="J2" s="23" t="s">
        <v>20</v>
      </c>
      <c r="K2" s="87" t="s">
        <v>25</v>
      </c>
      <c r="L2" s="4" t="s">
        <v>5</v>
      </c>
      <c r="M2" s="84"/>
      <c r="N2" s="84"/>
    </row>
    <row r="3" ht="52" customHeight="1" spans="1:14">
      <c r="A3" s="24">
        <v>1</v>
      </c>
      <c r="B3" s="7" t="s">
        <v>543</v>
      </c>
      <c r="C3" s="24" t="s">
        <v>544</v>
      </c>
      <c r="D3" s="76" t="s">
        <v>545</v>
      </c>
      <c r="E3" s="76" t="s">
        <v>546</v>
      </c>
      <c r="F3" s="7" t="s">
        <v>499</v>
      </c>
      <c r="G3" s="77">
        <v>18</v>
      </c>
      <c r="H3" s="78">
        <v>500</v>
      </c>
      <c r="I3" s="30"/>
      <c r="J3" s="30"/>
      <c r="K3" s="88"/>
      <c r="L3" s="7"/>
      <c r="M3" s="84"/>
      <c r="N3" s="84"/>
    </row>
    <row r="4" ht="36" customHeight="1" spans="1:14">
      <c r="A4" s="24"/>
      <c r="B4" s="7"/>
      <c r="C4" s="7" t="s">
        <v>547</v>
      </c>
      <c r="D4" s="76" t="s">
        <v>548</v>
      </c>
      <c r="E4" s="76" t="s">
        <v>546</v>
      </c>
      <c r="F4" s="7" t="s">
        <v>505</v>
      </c>
      <c r="G4" s="77">
        <v>54</v>
      </c>
      <c r="H4" s="78">
        <v>600</v>
      </c>
      <c r="I4" s="30"/>
      <c r="J4" s="30"/>
      <c r="K4" s="89"/>
      <c r="L4" s="7"/>
      <c r="M4" s="84"/>
      <c r="N4" s="84"/>
    </row>
    <row r="5" spans="1:14">
      <c r="A5" s="24"/>
      <c r="B5" s="7"/>
      <c r="C5" s="24" t="s">
        <v>549</v>
      </c>
      <c r="D5" s="76" t="s">
        <v>550</v>
      </c>
      <c r="E5" s="7" t="s">
        <v>551</v>
      </c>
      <c r="F5" s="24" t="s">
        <v>552</v>
      </c>
      <c r="G5" s="77">
        <v>90</v>
      </c>
      <c r="H5" s="78">
        <v>500</v>
      </c>
      <c r="I5" s="30"/>
      <c r="J5" s="30"/>
      <c r="K5" s="88"/>
      <c r="L5" s="7"/>
      <c r="M5" s="84"/>
      <c r="N5" s="84"/>
    </row>
    <row r="6" spans="1:14">
      <c r="A6" s="24"/>
      <c r="B6" s="7"/>
      <c r="C6" s="24" t="s">
        <v>553</v>
      </c>
      <c r="D6" s="79"/>
      <c r="E6" s="7"/>
      <c r="F6" s="24"/>
      <c r="G6" s="77">
        <v>90</v>
      </c>
      <c r="H6" s="78">
        <v>500</v>
      </c>
      <c r="I6" s="30"/>
      <c r="J6" s="30"/>
      <c r="K6" s="88"/>
      <c r="L6" s="7"/>
      <c r="M6" s="84"/>
      <c r="N6" s="84"/>
    </row>
    <row r="7" ht="48" spans="1:14">
      <c r="A7" s="24"/>
      <c r="B7" s="7"/>
      <c r="C7" s="24" t="s">
        <v>554</v>
      </c>
      <c r="D7" s="76" t="s">
        <v>555</v>
      </c>
      <c r="E7" s="7"/>
      <c r="F7" s="24"/>
      <c r="G7" s="77">
        <v>90</v>
      </c>
      <c r="H7" s="78">
        <v>150</v>
      </c>
      <c r="I7" s="30"/>
      <c r="J7" s="30"/>
      <c r="K7" s="88"/>
      <c r="L7" s="7"/>
      <c r="M7" s="84"/>
      <c r="N7" s="84"/>
    </row>
    <row r="8" ht="48.75" spans="1:14">
      <c r="A8" s="24">
        <v>2</v>
      </c>
      <c r="B8" s="7" t="s">
        <v>556</v>
      </c>
      <c r="C8" s="24" t="s">
        <v>544</v>
      </c>
      <c r="D8" s="76" t="s">
        <v>545</v>
      </c>
      <c r="E8" s="76" t="s">
        <v>546</v>
      </c>
      <c r="F8" s="7" t="s">
        <v>499</v>
      </c>
      <c r="G8" s="77">
        <v>9</v>
      </c>
      <c r="H8" s="78">
        <v>500</v>
      </c>
      <c r="I8" s="30"/>
      <c r="J8" s="30"/>
      <c r="K8" s="88"/>
      <c r="L8" s="78"/>
      <c r="M8" s="84"/>
      <c r="N8" s="84"/>
    </row>
    <row r="9" ht="24.75" spans="1:14">
      <c r="A9" s="24"/>
      <c r="B9" s="7"/>
      <c r="C9" s="7" t="s">
        <v>547</v>
      </c>
      <c r="D9" s="76" t="s">
        <v>548</v>
      </c>
      <c r="E9" s="76" t="s">
        <v>546</v>
      </c>
      <c r="F9" s="7" t="s">
        <v>505</v>
      </c>
      <c r="G9" s="77">
        <v>30</v>
      </c>
      <c r="H9" s="78">
        <v>600</v>
      </c>
      <c r="I9" s="30"/>
      <c r="J9" s="30"/>
      <c r="K9" s="89"/>
      <c r="L9" s="78"/>
      <c r="M9" s="84"/>
      <c r="N9" s="84"/>
    </row>
    <row r="10" spans="1:14">
      <c r="A10" s="24"/>
      <c r="B10" s="7"/>
      <c r="C10" s="24" t="s">
        <v>549</v>
      </c>
      <c r="D10" s="76" t="s">
        <v>550</v>
      </c>
      <c r="E10" s="7" t="s">
        <v>551</v>
      </c>
      <c r="F10" s="24" t="s">
        <v>552</v>
      </c>
      <c r="G10" s="77">
        <v>45</v>
      </c>
      <c r="H10" s="78">
        <v>500</v>
      </c>
      <c r="I10" s="30"/>
      <c r="J10" s="30"/>
      <c r="K10" s="88"/>
      <c r="L10" s="78"/>
      <c r="M10" s="84"/>
      <c r="N10" s="84"/>
    </row>
    <row r="11" spans="1:14">
      <c r="A11" s="24"/>
      <c r="B11" s="7"/>
      <c r="C11" s="24" t="s">
        <v>553</v>
      </c>
      <c r="D11" s="79"/>
      <c r="E11" s="7"/>
      <c r="F11" s="24"/>
      <c r="G11" s="77">
        <v>45</v>
      </c>
      <c r="H11" s="78">
        <v>500</v>
      </c>
      <c r="I11" s="30"/>
      <c r="J11" s="30"/>
      <c r="K11" s="88"/>
      <c r="L11" s="78"/>
      <c r="M11" s="84"/>
      <c r="N11" s="84"/>
    </row>
    <row r="12" ht="48" spans="1:14">
      <c r="A12" s="24"/>
      <c r="B12" s="7"/>
      <c r="C12" s="24" t="s">
        <v>554</v>
      </c>
      <c r="D12" s="76" t="s">
        <v>555</v>
      </c>
      <c r="E12" s="7"/>
      <c r="F12" s="24"/>
      <c r="G12" s="77">
        <v>48</v>
      </c>
      <c r="H12" s="78">
        <v>150</v>
      </c>
      <c r="I12" s="30"/>
      <c r="J12" s="30"/>
      <c r="K12" s="88"/>
      <c r="L12" s="78"/>
      <c r="M12" s="84"/>
      <c r="N12" s="84"/>
    </row>
    <row r="13" ht="30" customHeight="1" spans="1:14">
      <c r="A13" s="80" t="s">
        <v>12</v>
      </c>
      <c r="B13" s="81"/>
      <c r="C13" s="81"/>
      <c r="D13" s="81"/>
      <c r="E13" s="82"/>
      <c r="F13" s="83"/>
      <c r="G13" s="4"/>
      <c r="H13" s="5"/>
      <c r="I13" s="23"/>
      <c r="J13" s="23"/>
      <c r="K13" s="4"/>
      <c r="L13" s="87"/>
      <c r="M13" s="84"/>
      <c r="N13" s="84"/>
    </row>
    <row r="14" spans="1:14">
      <c r="A14" s="84"/>
      <c r="B14" s="84"/>
      <c r="C14" s="84"/>
      <c r="D14" s="84"/>
      <c r="E14" s="84"/>
      <c r="F14" s="84"/>
      <c r="G14" s="84"/>
      <c r="H14" s="84"/>
      <c r="I14" s="90"/>
      <c r="J14" s="90"/>
      <c r="K14" s="84"/>
      <c r="L14" s="84"/>
      <c r="M14" s="84"/>
      <c r="N14" s="84"/>
    </row>
    <row r="15" spans="1:14">
      <c r="A15" s="84"/>
      <c r="B15" s="84"/>
      <c r="C15" s="84"/>
      <c r="D15" s="84"/>
      <c r="E15" s="84"/>
      <c r="F15" s="84"/>
      <c r="G15" s="84"/>
      <c r="H15" s="84"/>
      <c r="I15" s="90"/>
      <c r="J15" s="90"/>
      <c r="K15" s="84"/>
      <c r="L15" s="84"/>
      <c r="M15" s="84"/>
      <c r="N15" s="84"/>
    </row>
    <row r="16" spans="1:14">
      <c r="A16" s="84"/>
      <c r="B16" s="84"/>
      <c r="C16" s="84"/>
      <c r="D16" s="84"/>
      <c r="E16" s="84"/>
      <c r="F16" s="84"/>
      <c r="G16" s="84"/>
      <c r="H16" s="84"/>
      <c r="I16" s="90"/>
      <c r="J16" s="90"/>
      <c r="K16" s="84"/>
      <c r="L16" s="84"/>
      <c r="M16" s="84"/>
      <c r="N16" s="84"/>
    </row>
    <row r="17" spans="1:14">
      <c r="A17" s="84"/>
      <c r="B17" s="84"/>
      <c r="C17" s="84"/>
      <c r="D17" s="84"/>
      <c r="E17" s="84"/>
      <c r="F17" s="84"/>
      <c r="G17" s="84"/>
      <c r="H17" s="84"/>
      <c r="I17" s="90"/>
      <c r="J17" s="90"/>
      <c r="K17" s="84"/>
      <c r="L17" s="84"/>
      <c r="M17" s="84"/>
      <c r="N17" s="84"/>
    </row>
  </sheetData>
  <mergeCells count="12">
    <mergeCell ref="A1:L1"/>
    <mergeCell ref="A13:E13"/>
    <mergeCell ref="A3:A7"/>
    <mergeCell ref="A8:A12"/>
    <mergeCell ref="B3:B7"/>
    <mergeCell ref="B8:B12"/>
    <mergeCell ref="D5:D6"/>
    <mergeCell ref="D10:D11"/>
    <mergeCell ref="E5:E7"/>
    <mergeCell ref="E10:E12"/>
    <mergeCell ref="F5:F7"/>
    <mergeCell ref="F10:F12"/>
  </mergeCells>
  <printOptions horizontalCentered="1"/>
  <pageMargins left="0.751388888888889" right="0.751388888888889" top="1" bottom="1" header="0.5" footer="0.5"/>
  <pageSetup paperSize="1"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7"/>
  <sheetViews>
    <sheetView view="pageBreakPreview" zoomScaleNormal="100" topLeftCell="A45" workbookViewId="0">
      <selection activeCell="J3" sqref="J3:M97"/>
    </sheetView>
  </sheetViews>
  <sheetFormatPr defaultColWidth="12" defaultRowHeight="13.5"/>
  <cols>
    <col min="1" max="1" width="6.5" style="36"/>
    <col min="2" max="2" width="13.75" style="36" customWidth="1"/>
    <col min="3" max="3" width="25.75" style="36"/>
    <col min="4" max="4" width="15.75" style="36" hidden="1" customWidth="1"/>
    <col min="5" max="5" width="12.625" style="36" hidden="1" customWidth="1"/>
    <col min="6" max="6" width="16.125" style="36" hidden="1" customWidth="1"/>
    <col min="7" max="7" width="9.625" style="36"/>
    <col min="8" max="8" width="8.125" style="36"/>
    <col min="9" max="9" width="12.625" style="36" hidden="1" customWidth="1"/>
    <col min="10" max="11" width="12.625" style="37"/>
    <col min="12" max="12" width="26.625" style="36" hidden="1" customWidth="1"/>
    <col min="13" max="13" width="15.5" style="36" customWidth="1"/>
    <col min="14" max="26" width="12.625" style="36" hidden="1"/>
  </cols>
  <sheetData>
    <row r="1" s="36" customFormat="1" ht="58" customHeight="1" spans="1:13">
      <c r="A1" s="38" t="s">
        <v>557</v>
      </c>
      <c r="B1" s="38"/>
      <c r="C1" s="38"/>
      <c r="D1" s="38"/>
      <c r="E1" s="38"/>
      <c r="F1" s="38"/>
      <c r="G1" s="38"/>
      <c r="H1" s="38"/>
      <c r="I1" s="38"/>
      <c r="J1" s="47"/>
      <c r="K1" s="47"/>
      <c r="L1" s="38"/>
      <c r="M1" s="38"/>
    </row>
    <row r="2" s="36" customFormat="1" ht="24" customHeight="1" spans="1:13">
      <c r="A2" s="39" t="s">
        <v>558</v>
      </c>
      <c r="B2" s="39" t="s">
        <v>559</v>
      </c>
      <c r="C2" s="39" t="s">
        <v>560</v>
      </c>
      <c r="D2" s="39" t="s">
        <v>561</v>
      </c>
      <c r="E2" s="39" t="s">
        <v>562</v>
      </c>
      <c r="F2" s="39" t="s">
        <v>563</v>
      </c>
      <c r="G2" s="39" t="s">
        <v>564</v>
      </c>
      <c r="H2" s="40" t="s">
        <v>493</v>
      </c>
      <c r="I2" s="5" t="s">
        <v>542</v>
      </c>
      <c r="J2" s="23" t="s">
        <v>19</v>
      </c>
      <c r="K2" s="23" t="s">
        <v>20</v>
      </c>
      <c r="L2" s="39" t="s">
        <v>565</v>
      </c>
      <c r="M2" s="24" t="s">
        <v>566</v>
      </c>
    </row>
    <row r="3" s="36" customFormat="1" spans="1:13">
      <c r="A3" s="41">
        <v>1</v>
      </c>
      <c r="B3" s="42" t="s">
        <v>567</v>
      </c>
      <c r="C3" s="42" t="s">
        <v>568</v>
      </c>
      <c r="D3" s="42" t="s">
        <v>569</v>
      </c>
      <c r="E3" s="42" t="s">
        <v>570</v>
      </c>
      <c r="F3" s="42" t="s">
        <v>571</v>
      </c>
      <c r="G3" s="43" t="s">
        <v>572</v>
      </c>
      <c r="H3" s="44">
        <v>7</v>
      </c>
      <c r="I3" s="48">
        <v>60</v>
      </c>
      <c r="J3" s="49"/>
      <c r="K3" s="49"/>
      <c r="L3" s="50"/>
      <c r="M3" s="51"/>
    </row>
    <row r="4" s="36" customFormat="1" spans="1:13">
      <c r="A4" s="39">
        <v>2</v>
      </c>
      <c r="B4" s="24"/>
      <c r="C4" s="24" t="s">
        <v>573</v>
      </c>
      <c r="D4" s="24"/>
      <c r="E4" s="24"/>
      <c r="F4" s="24"/>
      <c r="G4" s="45" t="s">
        <v>572</v>
      </c>
      <c r="H4" s="46">
        <v>7</v>
      </c>
      <c r="I4" s="52">
        <v>60</v>
      </c>
      <c r="J4" s="49"/>
      <c r="K4" s="53"/>
      <c r="L4" s="54"/>
      <c r="M4" s="7"/>
    </row>
    <row r="5" s="36" customFormat="1" spans="1:13">
      <c r="A5" s="39">
        <v>3</v>
      </c>
      <c r="B5" s="24"/>
      <c r="C5" s="24" t="s">
        <v>574</v>
      </c>
      <c r="D5" s="24"/>
      <c r="E5" s="24"/>
      <c r="F5" s="24"/>
      <c r="G5" s="45" t="s">
        <v>572</v>
      </c>
      <c r="H5" s="46">
        <v>7</v>
      </c>
      <c r="I5" s="52">
        <v>80</v>
      </c>
      <c r="J5" s="49"/>
      <c r="K5" s="53"/>
      <c r="L5" s="14"/>
      <c r="M5" s="7"/>
    </row>
    <row r="6" s="36" customFormat="1" ht="15" customHeight="1" spans="1:13">
      <c r="A6" s="39">
        <v>4</v>
      </c>
      <c r="B6" s="24"/>
      <c r="C6" s="24" t="s">
        <v>575</v>
      </c>
      <c r="D6" s="24"/>
      <c r="E6" s="24"/>
      <c r="F6" s="24" t="s">
        <v>576</v>
      </c>
      <c r="G6" s="45" t="s">
        <v>577</v>
      </c>
      <c r="H6" s="46">
        <v>7</v>
      </c>
      <c r="I6" s="52">
        <v>80</v>
      </c>
      <c r="J6" s="49"/>
      <c r="K6" s="53"/>
      <c r="L6" s="14"/>
      <c r="M6" s="7"/>
    </row>
    <row r="7" s="36" customFormat="1" ht="15" customHeight="1" spans="1:13">
      <c r="A7" s="39">
        <v>5</v>
      </c>
      <c r="B7" s="24"/>
      <c r="C7" s="24" t="s">
        <v>578</v>
      </c>
      <c r="D7" s="24"/>
      <c r="E7" s="24"/>
      <c r="F7" s="24" t="s">
        <v>579</v>
      </c>
      <c r="G7" s="45" t="s">
        <v>572</v>
      </c>
      <c r="H7" s="46">
        <v>7</v>
      </c>
      <c r="I7" s="52">
        <v>200</v>
      </c>
      <c r="J7" s="49"/>
      <c r="K7" s="53"/>
      <c r="L7" s="14"/>
      <c r="M7" s="7"/>
    </row>
    <row r="8" s="36" customFormat="1" spans="1:13">
      <c r="A8" s="39">
        <v>6</v>
      </c>
      <c r="B8" s="24"/>
      <c r="C8" s="24" t="s">
        <v>580</v>
      </c>
      <c r="D8" s="24"/>
      <c r="E8" s="24"/>
      <c r="F8" s="24" t="s">
        <v>571</v>
      </c>
      <c r="G8" s="45" t="s">
        <v>572</v>
      </c>
      <c r="H8" s="46">
        <v>7</v>
      </c>
      <c r="I8" s="52">
        <v>100</v>
      </c>
      <c r="J8" s="49"/>
      <c r="K8" s="53"/>
      <c r="L8" s="14"/>
      <c r="M8" s="7"/>
    </row>
    <row r="9" s="36" customFormat="1" ht="27" customHeight="1" spans="1:13">
      <c r="A9" s="39">
        <v>7</v>
      </c>
      <c r="B9" s="24"/>
      <c r="C9" s="24" t="s">
        <v>581</v>
      </c>
      <c r="D9" s="24"/>
      <c r="E9" s="24"/>
      <c r="F9" s="24"/>
      <c r="G9" s="45" t="s">
        <v>572</v>
      </c>
      <c r="H9" s="46">
        <v>7</v>
      </c>
      <c r="I9" s="52">
        <v>150</v>
      </c>
      <c r="J9" s="49"/>
      <c r="K9" s="53"/>
      <c r="L9" s="14"/>
      <c r="M9" s="7"/>
    </row>
    <row r="10" s="36" customFormat="1" spans="1:13">
      <c r="A10" s="39">
        <v>8</v>
      </c>
      <c r="B10" s="24"/>
      <c r="C10" s="24" t="s">
        <v>582</v>
      </c>
      <c r="D10" s="24"/>
      <c r="E10" s="24"/>
      <c r="F10" s="24"/>
      <c r="G10" s="45" t="s">
        <v>572</v>
      </c>
      <c r="H10" s="46">
        <v>7</v>
      </c>
      <c r="I10" s="52">
        <v>80</v>
      </c>
      <c r="J10" s="49"/>
      <c r="K10" s="53"/>
      <c r="L10" s="14"/>
      <c r="M10" s="7"/>
    </row>
    <row r="11" s="36" customFormat="1" spans="1:13">
      <c r="A11" s="39">
        <v>9</v>
      </c>
      <c r="B11" s="24"/>
      <c r="C11" s="24" t="s">
        <v>583</v>
      </c>
      <c r="D11" s="24"/>
      <c r="E11" s="24" t="s">
        <v>584</v>
      </c>
      <c r="F11" s="24"/>
      <c r="G11" s="45" t="s">
        <v>572</v>
      </c>
      <c r="H11" s="46">
        <v>7</v>
      </c>
      <c r="I11" s="52">
        <v>100</v>
      </c>
      <c r="J11" s="49"/>
      <c r="K11" s="53"/>
      <c r="L11" s="14"/>
      <c r="M11" s="7"/>
    </row>
    <row r="12" s="36" customFormat="1" spans="1:13">
      <c r="A12" s="39">
        <v>10</v>
      </c>
      <c r="B12" s="24"/>
      <c r="C12" s="24" t="s">
        <v>585</v>
      </c>
      <c r="D12" s="24"/>
      <c r="E12" s="24"/>
      <c r="F12" s="24"/>
      <c r="G12" s="45" t="s">
        <v>572</v>
      </c>
      <c r="H12" s="46">
        <v>7</v>
      </c>
      <c r="I12" s="52">
        <v>80</v>
      </c>
      <c r="J12" s="49"/>
      <c r="K12" s="53"/>
      <c r="L12" s="14"/>
      <c r="M12" s="7"/>
    </row>
    <row r="13" s="36" customFormat="1" spans="1:13">
      <c r="A13" s="39">
        <v>11</v>
      </c>
      <c r="B13" s="24"/>
      <c r="C13" s="24" t="s">
        <v>586</v>
      </c>
      <c r="D13" s="24"/>
      <c r="E13" s="24"/>
      <c r="F13" s="24"/>
      <c r="G13" s="45" t="s">
        <v>572</v>
      </c>
      <c r="H13" s="46">
        <v>7</v>
      </c>
      <c r="I13" s="52">
        <v>80</v>
      </c>
      <c r="J13" s="49"/>
      <c r="K13" s="53"/>
      <c r="L13" s="14"/>
      <c r="M13" s="7"/>
    </row>
    <row r="14" s="36" customFormat="1" spans="1:13">
      <c r="A14" s="39">
        <v>12</v>
      </c>
      <c r="B14" s="24"/>
      <c r="C14" s="24" t="s">
        <v>587</v>
      </c>
      <c r="D14" s="24"/>
      <c r="E14" s="24"/>
      <c r="F14" s="24"/>
      <c r="G14" s="45" t="s">
        <v>572</v>
      </c>
      <c r="H14" s="46">
        <v>7</v>
      </c>
      <c r="I14" s="52">
        <v>100</v>
      </c>
      <c r="J14" s="49"/>
      <c r="K14" s="53"/>
      <c r="L14" s="14"/>
      <c r="M14" s="7"/>
    </row>
    <row r="15" s="36" customFormat="1" spans="1:13">
      <c r="A15" s="39">
        <v>13</v>
      </c>
      <c r="B15" s="24"/>
      <c r="C15" s="24" t="s">
        <v>588</v>
      </c>
      <c r="D15" s="24"/>
      <c r="E15" s="24"/>
      <c r="F15" s="24"/>
      <c r="G15" s="45" t="s">
        <v>572</v>
      </c>
      <c r="H15" s="46">
        <v>7</v>
      </c>
      <c r="I15" s="52">
        <v>100</v>
      </c>
      <c r="J15" s="49"/>
      <c r="K15" s="53"/>
      <c r="L15" s="14"/>
      <c r="M15" s="7"/>
    </row>
    <row r="16" s="36" customFormat="1" spans="1:13">
      <c r="A16" s="39">
        <v>14</v>
      </c>
      <c r="B16" s="24"/>
      <c r="C16" s="24" t="s">
        <v>589</v>
      </c>
      <c r="D16" s="24"/>
      <c r="E16" s="24"/>
      <c r="F16" s="24"/>
      <c r="G16" s="45" t="s">
        <v>572</v>
      </c>
      <c r="H16" s="46">
        <v>7</v>
      </c>
      <c r="I16" s="52">
        <v>80</v>
      </c>
      <c r="J16" s="49"/>
      <c r="K16" s="53"/>
      <c r="L16" s="14"/>
      <c r="M16" s="7"/>
    </row>
    <row r="17" s="36" customFormat="1" spans="1:13">
      <c r="A17" s="39">
        <v>15</v>
      </c>
      <c r="B17" s="24"/>
      <c r="C17" s="24" t="s">
        <v>590</v>
      </c>
      <c r="D17" s="24"/>
      <c r="E17" s="24"/>
      <c r="F17" s="24"/>
      <c r="G17" s="45" t="s">
        <v>572</v>
      </c>
      <c r="H17" s="46">
        <v>7</v>
      </c>
      <c r="I17" s="52">
        <v>80</v>
      </c>
      <c r="J17" s="49"/>
      <c r="K17" s="53"/>
      <c r="L17" s="14"/>
      <c r="M17" s="7"/>
    </row>
    <row r="18" s="36" customFormat="1" spans="1:13">
      <c r="A18" s="39">
        <v>16</v>
      </c>
      <c r="B18" s="24"/>
      <c r="C18" s="24" t="s">
        <v>591</v>
      </c>
      <c r="D18" s="24"/>
      <c r="E18" s="24"/>
      <c r="F18" s="24"/>
      <c r="G18" s="45" t="s">
        <v>572</v>
      </c>
      <c r="H18" s="46">
        <v>7</v>
      </c>
      <c r="I18" s="52">
        <v>100</v>
      </c>
      <c r="J18" s="49"/>
      <c r="K18" s="53"/>
      <c r="L18" s="14"/>
      <c r="M18" s="7"/>
    </row>
    <row r="19" s="36" customFormat="1" spans="1:13">
      <c r="A19" s="39">
        <v>17</v>
      </c>
      <c r="B19" s="24"/>
      <c r="C19" s="24" t="s">
        <v>592</v>
      </c>
      <c r="D19" s="24"/>
      <c r="E19" s="24"/>
      <c r="F19" s="24"/>
      <c r="G19" s="45" t="s">
        <v>577</v>
      </c>
      <c r="H19" s="46">
        <v>7</v>
      </c>
      <c r="I19" s="52">
        <v>350</v>
      </c>
      <c r="J19" s="49"/>
      <c r="K19" s="53"/>
      <c r="L19" s="14"/>
      <c r="M19" s="7"/>
    </row>
    <row r="20" s="36" customFormat="1" spans="1:13">
      <c r="A20" s="39">
        <v>18</v>
      </c>
      <c r="B20" s="24"/>
      <c r="C20" s="24" t="s">
        <v>593</v>
      </c>
      <c r="D20" s="24"/>
      <c r="E20" s="24"/>
      <c r="F20" s="24"/>
      <c r="G20" s="45" t="s">
        <v>577</v>
      </c>
      <c r="H20" s="46">
        <v>7</v>
      </c>
      <c r="I20" s="52">
        <v>420</v>
      </c>
      <c r="J20" s="49"/>
      <c r="K20" s="53"/>
      <c r="L20" s="14"/>
      <c r="M20" s="7"/>
    </row>
    <row r="21" s="36" customFormat="1" spans="1:13">
      <c r="A21" s="39">
        <v>19</v>
      </c>
      <c r="B21" s="24"/>
      <c r="C21" s="24" t="s">
        <v>594</v>
      </c>
      <c r="D21" s="24"/>
      <c r="E21" s="24"/>
      <c r="F21" s="24"/>
      <c r="G21" s="45" t="s">
        <v>572</v>
      </c>
      <c r="H21" s="46">
        <v>7</v>
      </c>
      <c r="I21" s="52">
        <v>60</v>
      </c>
      <c r="J21" s="49"/>
      <c r="K21" s="53"/>
      <c r="L21" s="14"/>
      <c r="M21" s="7"/>
    </row>
    <row r="22" s="36" customFormat="1" spans="1:13">
      <c r="A22" s="39">
        <v>20</v>
      </c>
      <c r="B22" s="24"/>
      <c r="C22" s="24" t="s">
        <v>595</v>
      </c>
      <c r="D22" s="24"/>
      <c r="E22" s="24"/>
      <c r="F22" s="24"/>
      <c r="G22" s="45" t="s">
        <v>572</v>
      </c>
      <c r="H22" s="46">
        <v>7</v>
      </c>
      <c r="I22" s="52">
        <v>60</v>
      </c>
      <c r="J22" s="49"/>
      <c r="K22" s="53"/>
      <c r="L22" s="14"/>
      <c r="M22" s="7"/>
    </row>
    <row r="23" s="36" customFormat="1" spans="1:13">
      <c r="A23" s="39">
        <v>21</v>
      </c>
      <c r="B23" s="24" t="s">
        <v>596</v>
      </c>
      <c r="C23" s="24" t="s">
        <v>568</v>
      </c>
      <c r="D23" s="24" t="s">
        <v>569</v>
      </c>
      <c r="E23" s="24" t="s">
        <v>570</v>
      </c>
      <c r="F23" s="24" t="s">
        <v>571</v>
      </c>
      <c r="G23" s="45" t="s">
        <v>572</v>
      </c>
      <c r="H23" s="46">
        <v>91</v>
      </c>
      <c r="I23" s="55">
        <v>60</v>
      </c>
      <c r="J23" s="49"/>
      <c r="K23" s="53"/>
      <c r="L23" s="14"/>
      <c r="M23" s="7"/>
    </row>
    <row r="24" s="36" customFormat="1" spans="1:13">
      <c r="A24" s="39">
        <v>22</v>
      </c>
      <c r="B24" s="24"/>
      <c r="C24" s="24" t="s">
        <v>573</v>
      </c>
      <c r="D24" s="24"/>
      <c r="E24" s="24"/>
      <c r="F24" s="24"/>
      <c r="G24" s="45" t="s">
        <v>572</v>
      </c>
      <c r="H24" s="46">
        <v>91</v>
      </c>
      <c r="I24" s="52">
        <v>60</v>
      </c>
      <c r="J24" s="49"/>
      <c r="K24" s="53"/>
      <c r="L24" s="54"/>
      <c r="M24" s="7"/>
    </row>
    <row r="25" s="36" customFormat="1" spans="1:13">
      <c r="A25" s="39">
        <v>23</v>
      </c>
      <c r="B25" s="24"/>
      <c r="C25" s="24" t="s">
        <v>574</v>
      </c>
      <c r="D25" s="24"/>
      <c r="E25" s="24"/>
      <c r="F25" s="24"/>
      <c r="G25" s="45" t="s">
        <v>572</v>
      </c>
      <c r="H25" s="46">
        <v>91</v>
      </c>
      <c r="I25" s="52">
        <v>80</v>
      </c>
      <c r="J25" s="49"/>
      <c r="K25" s="53"/>
      <c r="L25" s="14"/>
      <c r="M25" s="7"/>
    </row>
    <row r="26" s="36" customFormat="1" spans="1:13">
      <c r="A26" s="39">
        <v>24</v>
      </c>
      <c r="B26" s="24"/>
      <c r="C26" s="24" t="s">
        <v>580</v>
      </c>
      <c r="D26" s="24"/>
      <c r="E26" s="24"/>
      <c r="F26" s="24"/>
      <c r="G26" s="45" t="s">
        <v>572</v>
      </c>
      <c r="H26" s="46">
        <v>91</v>
      </c>
      <c r="I26" s="52">
        <v>100</v>
      </c>
      <c r="J26" s="49"/>
      <c r="K26" s="53"/>
      <c r="L26" s="14"/>
      <c r="M26" s="7"/>
    </row>
    <row r="27" s="36" customFormat="1" spans="1:13">
      <c r="A27" s="39">
        <v>25</v>
      </c>
      <c r="B27" s="24"/>
      <c r="C27" s="24" t="s">
        <v>581</v>
      </c>
      <c r="D27" s="24"/>
      <c r="E27" s="24"/>
      <c r="F27" s="24"/>
      <c r="G27" s="45" t="s">
        <v>572</v>
      </c>
      <c r="H27" s="46">
        <v>91</v>
      </c>
      <c r="I27" s="52">
        <v>150</v>
      </c>
      <c r="J27" s="49"/>
      <c r="K27" s="53"/>
      <c r="L27" s="14"/>
      <c r="M27" s="7"/>
    </row>
    <row r="28" s="36" customFormat="1" spans="1:13">
      <c r="A28" s="39">
        <v>26</v>
      </c>
      <c r="B28" s="24"/>
      <c r="C28" s="24" t="s">
        <v>582</v>
      </c>
      <c r="D28" s="24"/>
      <c r="E28" s="24"/>
      <c r="F28" s="24"/>
      <c r="G28" s="45" t="s">
        <v>572</v>
      </c>
      <c r="H28" s="46">
        <v>91</v>
      </c>
      <c r="I28" s="52">
        <v>80</v>
      </c>
      <c r="J28" s="49"/>
      <c r="K28" s="53"/>
      <c r="L28" s="14"/>
      <c r="M28" s="7"/>
    </row>
    <row r="29" s="36" customFormat="1" ht="19" customHeight="1" spans="1:13">
      <c r="A29" s="39">
        <v>27</v>
      </c>
      <c r="B29" s="24"/>
      <c r="C29" s="24" t="s">
        <v>597</v>
      </c>
      <c r="D29" s="24"/>
      <c r="E29" s="24" t="s">
        <v>584</v>
      </c>
      <c r="F29" s="24"/>
      <c r="G29" s="45" t="s">
        <v>572</v>
      </c>
      <c r="H29" s="46">
        <v>91</v>
      </c>
      <c r="I29" s="52">
        <v>100</v>
      </c>
      <c r="J29" s="49"/>
      <c r="K29" s="53"/>
      <c r="L29" s="14"/>
      <c r="M29" s="7"/>
    </row>
    <row r="30" s="36" customFormat="1" spans="1:13">
      <c r="A30" s="39">
        <v>28</v>
      </c>
      <c r="B30" s="24"/>
      <c r="C30" s="24" t="s">
        <v>583</v>
      </c>
      <c r="D30" s="24"/>
      <c r="E30" s="24"/>
      <c r="F30" s="24"/>
      <c r="G30" s="45" t="s">
        <v>572</v>
      </c>
      <c r="H30" s="46">
        <v>91</v>
      </c>
      <c r="I30" s="52">
        <v>100</v>
      </c>
      <c r="J30" s="49"/>
      <c r="K30" s="53"/>
      <c r="L30" s="14"/>
      <c r="M30" s="7"/>
    </row>
    <row r="31" s="36" customFormat="1" spans="1:13">
      <c r="A31" s="39">
        <v>29</v>
      </c>
      <c r="B31" s="24"/>
      <c r="C31" s="24" t="s">
        <v>598</v>
      </c>
      <c r="D31" s="24"/>
      <c r="E31" s="24"/>
      <c r="F31" s="24"/>
      <c r="G31" s="45" t="s">
        <v>572</v>
      </c>
      <c r="H31" s="46">
        <v>91</v>
      </c>
      <c r="I31" s="52">
        <v>80</v>
      </c>
      <c r="J31" s="49"/>
      <c r="K31" s="53"/>
      <c r="L31" s="14"/>
      <c r="M31" s="7"/>
    </row>
    <row r="32" s="36" customFormat="1" spans="1:13">
      <c r="A32" s="39">
        <v>30</v>
      </c>
      <c r="B32" s="24"/>
      <c r="C32" s="24" t="s">
        <v>599</v>
      </c>
      <c r="D32" s="24"/>
      <c r="E32" s="24"/>
      <c r="F32" s="24"/>
      <c r="G32" s="45" t="s">
        <v>572</v>
      </c>
      <c r="H32" s="46">
        <v>91</v>
      </c>
      <c r="I32" s="52">
        <v>80</v>
      </c>
      <c r="J32" s="49"/>
      <c r="K32" s="53"/>
      <c r="L32" s="14"/>
      <c r="M32" s="7"/>
    </row>
    <row r="33" s="36" customFormat="1" spans="1:13">
      <c r="A33" s="39">
        <v>31</v>
      </c>
      <c r="B33" s="24"/>
      <c r="C33" s="24" t="s">
        <v>587</v>
      </c>
      <c r="D33" s="24"/>
      <c r="E33" s="24"/>
      <c r="F33" s="24"/>
      <c r="G33" s="45" t="s">
        <v>572</v>
      </c>
      <c r="H33" s="46">
        <v>91</v>
      </c>
      <c r="I33" s="52">
        <v>100</v>
      </c>
      <c r="J33" s="49"/>
      <c r="K33" s="53"/>
      <c r="L33" s="14"/>
      <c r="M33" s="7"/>
    </row>
    <row r="34" s="36" customFormat="1" spans="1:13">
      <c r="A34" s="39">
        <v>32</v>
      </c>
      <c r="B34" s="24"/>
      <c r="C34" s="24" t="s">
        <v>588</v>
      </c>
      <c r="D34" s="24"/>
      <c r="E34" s="24"/>
      <c r="F34" s="24"/>
      <c r="G34" s="45" t="s">
        <v>572</v>
      </c>
      <c r="H34" s="46">
        <v>91</v>
      </c>
      <c r="I34" s="52">
        <v>100</v>
      </c>
      <c r="J34" s="49"/>
      <c r="K34" s="53"/>
      <c r="L34" s="14"/>
      <c r="M34" s="7"/>
    </row>
    <row r="35" s="36" customFormat="1" spans="1:13">
      <c r="A35" s="39">
        <v>33</v>
      </c>
      <c r="B35" s="24"/>
      <c r="C35" s="24" t="s">
        <v>589</v>
      </c>
      <c r="D35" s="24"/>
      <c r="E35" s="24"/>
      <c r="F35" s="24"/>
      <c r="G35" s="45" t="s">
        <v>572</v>
      </c>
      <c r="H35" s="46">
        <v>91</v>
      </c>
      <c r="I35" s="52">
        <v>80</v>
      </c>
      <c r="J35" s="49"/>
      <c r="K35" s="53"/>
      <c r="L35" s="14"/>
      <c r="M35" s="7"/>
    </row>
    <row r="36" s="36" customFormat="1" spans="1:13">
      <c r="A36" s="39">
        <v>34</v>
      </c>
      <c r="B36" s="24"/>
      <c r="C36" s="24" t="s">
        <v>590</v>
      </c>
      <c r="D36" s="24"/>
      <c r="E36" s="24"/>
      <c r="F36" s="24"/>
      <c r="G36" s="45" t="s">
        <v>572</v>
      </c>
      <c r="H36" s="46">
        <v>91</v>
      </c>
      <c r="I36" s="52">
        <v>80</v>
      </c>
      <c r="J36" s="49"/>
      <c r="K36" s="53"/>
      <c r="L36" s="14"/>
      <c r="M36" s="7"/>
    </row>
    <row r="37" s="36" customFormat="1" spans="1:13">
      <c r="A37" s="39">
        <v>35</v>
      </c>
      <c r="B37" s="24"/>
      <c r="C37" s="24" t="s">
        <v>591</v>
      </c>
      <c r="D37" s="24"/>
      <c r="E37" s="24"/>
      <c r="F37" s="24"/>
      <c r="G37" s="45" t="s">
        <v>572</v>
      </c>
      <c r="H37" s="46">
        <v>91</v>
      </c>
      <c r="I37" s="52">
        <v>80</v>
      </c>
      <c r="J37" s="49"/>
      <c r="K37" s="53"/>
      <c r="L37" s="14"/>
      <c r="M37" s="7"/>
    </row>
    <row r="38" s="36" customFormat="1" ht="21" customHeight="1" spans="1:13">
      <c r="A38" s="39">
        <v>36</v>
      </c>
      <c r="B38" s="24"/>
      <c r="C38" s="24" t="s">
        <v>592</v>
      </c>
      <c r="D38" s="24"/>
      <c r="E38" s="24"/>
      <c r="F38" s="24" t="s">
        <v>579</v>
      </c>
      <c r="G38" s="45" t="s">
        <v>577</v>
      </c>
      <c r="H38" s="46">
        <v>91</v>
      </c>
      <c r="I38" s="52">
        <v>350</v>
      </c>
      <c r="J38" s="49"/>
      <c r="K38" s="53"/>
      <c r="L38" s="14"/>
      <c r="M38" s="7"/>
    </row>
    <row r="39" s="36" customFormat="1" spans="1:13">
      <c r="A39" s="39">
        <v>37</v>
      </c>
      <c r="B39" s="24"/>
      <c r="C39" s="24" t="s">
        <v>593</v>
      </c>
      <c r="D39" s="24"/>
      <c r="E39" s="24"/>
      <c r="F39" s="24" t="s">
        <v>571</v>
      </c>
      <c r="G39" s="45" t="s">
        <v>577</v>
      </c>
      <c r="H39" s="46">
        <v>91</v>
      </c>
      <c r="I39" s="52">
        <v>420</v>
      </c>
      <c r="J39" s="49"/>
      <c r="K39" s="53"/>
      <c r="L39" s="14"/>
      <c r="M39" s="7"/>
    </row>
    <row r="40" s="36" customFormat="1" spans="1:13">
      <c r="A40" s="39">
        <v>38</v>
      </c>
      <c r="B40" s="24"/>
      <c r="C40" s="24" t="s">
        <v>594</v>
      </c>
      <c r="D40" s="24"/>
      <c r="E40" s="24"/>
      <c r="F40" s="24"/>
      <c r="G40" s="45" t="s">
        <v>572</v>
      </c>
      <c r="H40" s="46">
        <v>91</v>
      </c>
      <c r="I40" s="52">
        <v>80</v>
      </c>
      <c r="J40" s="49"/>
      <c r="K40" s="53"/>
      <c r="L40" s="14"/>
      <c r="M40" s="7"/>
    </row>
    <row r="41" s="36" customFormat="1" spans="1:13">
      <c r="A41" s="39">
        <v>39</v>
      </c>
      <c r="B41" s="24"/>
      <c r="C41" s="24" t="s">
        <v>595</v>
      </c>
      <c r="D41" s="24"/>
      <c r="E41" s="24"/>
      <c r="F41" s="24"/>
      <c r="G41" s="45" t="s">
        <v>572</v>
      </c>
      <c r="H41" s="46">
        <v>91</v>
      </c>
      <c r="I41" s="52">
        <v>60</v>
      </c>
      <c r="J41" s="49"/>
      <c r="K41" s="53"/>
      <c r="L41" s="14"/>
      <c r="M41" s="7"/>
    </row>
    <row r="42" s="36" customFormat="1" spans="1:13">
      <c r="A42" s="39">
        <v>40</v>
      </c>
      <c r="B42" s="24" t="s">
        <v>600</v>
      </c>
      <c r="C42" s="24" t="s">
        <v>568</v>
      </c>
      <c r="D42" s="24" t="s">
        <v>569</v>
      </c>
      <c r="E42" s="24" t="s">
        <v>570</v>
      </c>
      <c r="F42" s="24" t="s">
        <v>571</v>
      </c>
      <c r="G42" s="45" t="s">
        <v>572</v>
      </c>
      <c r="H42" s="46">
        <v>15</v>
      </c>
      <c r="I42" s="52">
        <v>60</v>
      </c>
      <c r="J42" s="49"/>
      <c r="K42" s="53"/>
      <c r="L42" s="14"/>
      <c r="M42" s="7"/>
    </row>
    <row r="43" s="36" customFormat="1" spans="1:13">
      <c r="A43" s="39">
        <v>41</v>
      </c>
      <c r="B43" s="24"/>
      <c r="C43" s="24" t="s">
        <v>573</v>
      </c>
      <c r="D43" s="24"/>
      <c r="E43" s="24"/>
      <c r="F43" s="24"/>
      <c r="G43" s="45" t="s">
        <v>572</v>
      </c>
      <c r="H43" s="46">
        <v>15</v>
      </c>
      <c r="I43" s="52">
        <v>60</v>
      </c>
      <c r="J43" s="49"/>
      <c r="K43" s="53"/>
      <c r="L43" s="54"/>
      <c r="M43" s="7"/>
    </row>
    <row r="44" s="36" customFormat="1" spans="1:13">
      <c r="A44" s="39">
        <v>42</v>
      </c>
      <c r="B44" s="24"/>
      <c r="C44" s="24" t="s">
        <v>601</v>
      </c>
      <c r="D44" s="24"/>
      <c r="E44" s="24"/>
      <c r="F44" s="24"/>
      <c r="G44" s="45" t="s">
        <v>572</v>
      </c>
      <c r="H44" s="46">
        <v>15</v>
      </c>
      <c r="I44" s="52">
        <v>80</v>
      </c>
      <c r="J44" s="49"/>
      <c r="K44" s="53"/>
      <c r="L44" s="14"/>
      <c r="M44" s="7"/>
    </row>
    <row r="45" s="36" customFormat="1" ht="36.75" spans="1:13">
      <c r="A45" s="39">
        <v>43</v>
      </c>
      <c r="B45" s="24"/>
      <c r="C45" s="24" t="s">
        <v>602</v>
      </c>
      <c r="D45" s="24"/>
      <c r="E45" s="24"/>
      <c r="F45" s="24" t="s">
        <v>579</v>
      </c>
      <c r="G45" s="45" t="s">
        <v>572</v>
      </c>
      <c r="H45" s="46">
        <v>15</v>
      </c>
      <c r="I45" s="52">
        <v>200</v>
      </c>
      <c r="J45" s="49"/>
      <c r="K45" s="53"/>
      <c r="L45" s="12"/>
      <c r="M45" s="7"/>
    </row>
    <row r="46" s="36" customFormat="1" ht="48.75" spans="1:13">
      <c r="A46" s="39">
        <v>44</v>
      </c>
      <c r="B46" s="24"/>
      <c r="C46" s="24" t="s">
        <v>603</v>
      </c>
      <c r="D46" s="24"/>
      <c r="E46" s="24"/>
      <c r="F46" s="24" t="s">
        <v>571</v>
      </c>
      <c r="G46" s="45" t="s">
        <v>572</v>
      </c>
      <c r="H46" s="46">
        <v>15</v>
      </c>
      <c r="I46" s="52">
        <v>200</v>
      </c>
      <c r="J46" s="49"/>
      <c r="K46" s="53"/>
      <c r="L46" s="54"/>
      <c r="M46" s="7"/>
    </row>
    <row r="47" s="36" customFormat="1" spans="1:13">
      <c r="A47" s="39">
        <v>45</v>
      </c>
      <c r="B47" s="24"/>
      <c r="C47" s="24" t="s">
        <v>604</v>
      </c>
      <c r="D47" s="24" t="s">
        <v>605</v>
      </c>
      <c r="E47" s="24" t="s">
        <v>584</v>
      </c>
      <c r="F47" s="24" t="s">
        <v>571</v>
      </c>
      <c r="G47" s="45" t="s">
        <v>572</v>
      </c>
      <c r="H47" s="46">
        <v>15</v>
      </c>
      <c r="I47" s="52">
        <v>100</v>
      </c>
      <c r="J47" s="49"/>
      <c r="K47" s="53"/>
      <c r="L47" s="14"/>
      <c r="M47" s="7"/>
    </row>
    <row r="48" s="36" customFormat="1" spans="1:13">
      <c r="A48" s="39">
        <v>46</v>
      </c>
      <c r="B48" s="24"/>
      <c r="C48" s="24" t="s">
        <v>606</v>
      </c>
      <c r="D48" s="24"/>
      <c r="E48" s="24"/>
      <c r="F48" s="24"/>
      <c r="G48" s="45" t="s">
        <v>572</v>
      </c>
      <c r="H48" s="46">
        <v>15</v>
      </c>
      <c r="I48" s="52">
        <v>100</v>
      </c>
      <c r="J48" s="49"/>
      <c r="K48" s="53"/>
      <c r="L48" s="14"/>
      <c r="M48" s="7"/>
    </row>
    <row r="49" s="36" customFormat="1" spans="1:13">
      <c r="A49" s="39">
        <v>47</v>
      </c>
      <c r="B49" s="24"/>
      <c r="C49" s="24" t="s">
        <v>607</v>
      </c>
      <c r="D49" s="24"/>
      <c r="E49" s="24"/>
      <c r="F49" s="24"/>
      <c r="G49" s="45" t="s">
        <v>572</v>
      </c>
      <c r="H49" s="46">
        <v>15</v>
      </c>
      <c r="I49" s="52">
        <v>100</v>
      </c>
      <c r="J49" s="49"/>
      <c r="K49" s="53"/>
      <c r="L49" s="14"/>
      <c r="M49" s="7"/>
    </row>
    <row r="50" s="36" customFormat="1" spans="1:13">
      <c r="A50" s="39">
        <v>48</v>
      </c>
      <c r="B50" s="24"/>
      <c r="C50" s="24" t="s">
        <v>590</v>
      </c>
      <c r="D50" s="24"/>
      <c r="E50" s="24"/>
      <c r="F50" s="24"/>
      <c r="G50" s="45" t="s">
        <v>572</v>
      </c>
      <c r="H50" s="46">
        <v>15</v>
      </c>
      <c r="I50" s="52">
        <v>80</v>
      </c>
      <c r="J50" s="49"/>
      <c r="K50" s="53"/>
      <c r="L50" s="14"/>
      <c r="M50" s="7"/>
    </row>
    <row r="51" s="36" customFormat="1" spans="1:13">
      <c r="A51" s="39">
        <v>49</v>
      </c>
      <c r="B51" s="24"/>
      <c r="C51" s="24" t="s">
        <v>591</v>
      </c>
      <c r="D51" s="24"/>
      <c r="E51" s="24"/>
      <c r="F51" s="24"/>
      <c r="G51" s="45" t="s">
        <v>572</v>
      </c>
      <c r="H51" s="46">
        <v>15</v>
      </c>
      <c r="I51" s="52">
        <v>100</v>
      </c>
      <c r="J51" s="49"/>
      <c r="K51" s="53"/>
      <c r="L51" s="14"/>
      <c r="M51" s="7"/>
    </row>
    <row r="52" s="36" customFormat="1" ht="36.75" spans="1:13">
      <c r="A52" s="39">
        <v>50</v>
      </c>
      <c r="B52" s="24"/>
      <c r="C52" s="24" t="s">
        <v>592</v>
      </c>
      <c r="D52" s="24"/>
      <c r="E52" s="24"/>
      <c r="F52" s="24" t="s">
        <v>579</v>
      </c>
      <c r="G52" s="45" t="s">
        <v>577</v>
      </c>
      <c r="H52" s="46">
        <v>15</v>
      </c>
      <c r="I52" s="52">
        <v>350</v>
      </c>
      <c r="J52" s="49"/>
      <c r="K52" s="53"/>
      <c r="L52" s="14"/>
      <c r="M52" s="7"/>
    </row>
    <row r="53" s="36" customFormat="1" spans="1:13">
      <c r="A53" s="39">
        <v>51</v>
      </c>
      <c r="B53" s="24"/>
      <c r="C53" s="24" t="s">
        <v>593</v>
      </c>
      <c r="D53" s="24"/>
      <c r="E53" s="24"/>
      <c r="F53" s="24" t="s">
        <v>571</v>
      </c>
      <c r="G53" s="45" t="s">
        <v>577</v>
      </c>
      <c r="H53" s="46">
        <v>15</v>
      </c>
      <c r="I53" s="52">
        <v>420</v>
      </c>
      <c r="J53" s="49"/>
      <c r="K53" s="53"/>
      <c r="L53" s="14"/>
      <c r="M53" s="7"/>
    </row>
    <row r="54" s="36" customFormat="1" spans="1:13">
      <c r="A54" s="39">
        <v>52</v>
      </c>
      <c r="B54" s="24"/>
      <c r="C54" s="24" t="s">
        <v>595</v>
      </c>
      <c r="D54" s="24"/>
      <c r="E54" s="24"/>
      <c r="F54" s="24"/>
      <c r="G54" s="45" t="s">
        <v>572</v>
      </c>
      <c r="H54" s="46">
        <v>15</v>
      </c>
      <c r="I54" s="52">
        <v>60</v>
      </c>
      <c r="J54" s="49"/>
      <c r="K54" s="53"/>
      <c r="L54" s="14"/>
      <c r="M54" s="7"/>
    </row>
    <row r="55" s="36" customFormat="1" spans="1:13">
      <c r="A55" s="39">
        <v>53</v>
      </c>
      <c r="B55" s="24" t="s">
        <v>608</v>
      </c>
      <c r="C55" s="24" t="s">
        <v>568</v>
      </c>
      <c r="D55" s="24" t="s">
        <v>605</v>
      </c>
      <c r="E55" s="24" t="s">
        <v>570</v>
      </c>
      <c r="F55" s="24" t="s">
        <v>571</v>
      </c>
      <c r="G55" s="45" t="s">
        <v>572</v>
      </c>
      <c r="H55" s="46">
        <v>36</v>
      </c>
      <c r="I55" s="52">
        <v>60</v>
      </c>
      <c r="J55" s="49"/>
      <c r="K55" s="53"/>
      <c r="L55" s="14"/>
      <c r="M55" s="7"/>
    </row>
    <row r="56" s="36" customFormat="1" spans="1:13">
      <c r="A56" s="39">
        <v>54</v>
      </c>
      <c r="B56" s="24"/>
      <c r="C56" s="24" t="s">
        <v>573</v>
      </c>
      <c r="D56" s="24"/>
      <c r="E56" s="24"/>
      <c r="F56" s="24"/>
      <c r="G56" s="45" t="s">
        <v>572</v>
      </c>
      <c r="H56" s="46">
        <v>36</v>
      </c>
      <c r="I56" s="52">
        <v>60</v>
      </c>
      <c r="J56" s="49"/>
      <c r="K56" s="53"/>
      <c r="L56" s="54"/>
      <c r="M56" s="7"/>
    </row>
    <row r="57" s="36" customFormat="1" spans="1:13">
      <c r="A57" s="39">
        <v>55</v>
      </c>
      <c r="B57" s="24"/>
      <c r="C57" s="24" t="s">
        <v>609</v>
      </c>
      <c r="D57" s="24"/>
      <c r="E57" s="24"/>
      <c r="F57" s="24"/>
      <c r="G57" s="45" t="s">
        <v>572</v>
      </c>
      <c r="H57" s="46">
        <v>36</v>
      </c>
      <c r="I57" s="52">
        <v>100</v>
      </c>
      <c r="J57" s="49"/>
      <c r="K57" s="53"/>
      <c r="L57" s="54"/>
      <c r="M57" s="7"/>
    </row>
    <row r="58" s="36" customFormat="1" spans="1:13">
      <c r="A58" s="39">
        <v>56</v>
      </c>
      <c r="B58" s="24"/>
      <c r="C58" s="24" t="s">
        <v>610</v>
      </c>
      <c r="D58" s="24"/>
      <c r="E58" s="24"/>
      <c r="F58" s="24"/>
      <c r="G58" s="45" t="s">
        <v>572</v>
      </c>
      <c r="H58" s="46">
        <v>36</v>
      </c>
      <c r="I58" s="52">
        <v>80</v>
      </c>
      <c r="J58" s="49"/>
      <c r="K58" s="53"/>
      <c r="L58" s="14"/>
      <c r="M58" s="7"/>
    </row>
    <row r="59" s="36" customFormat="1" spans="1:13">
      <c r="A59" s="39">
        <v>57</v>
      </c>
      <c r="B59" s="24"/>
      <c r="C59" s="24" t="s">
        <v>611</v>
      </c>
      <c r="D59" s="24"/>
      <c r="E59" s="24"/>
      <c r="F59" s="24"/>
      <c r="G59" s="45" t="s">
        <v>572</v>
      </c>
      <c r="H59" s="46">
        <v>36</v>
      </c>
      <c r="I59" s="52">
        <v>200</v>
      </c>
      <c r="J59" s="49"/>
      <c r="K59" s="53"/>
      <c r="L59" s="54"/>
      <c r="M59" s="7"/>
    </row>
    <row r="60" s="36" customFormat="1" ht="20" customHeight="1" spans="1:13">
      <c r="A60" s="39">
        <v>58</v>
      </c>
      <c r="B60" s="24"/>
      <c r="C60" s="24" t="s">
        <v>612</v>
      </c>
      <c r="D60" s="24"/>
      <c r="E60" s="24" t="s">
        <v>584</v>
      </c>
      <c r="F60" s="24"/>
      <c r="G60" s="45" t="s">
        <v>572</v>
      </c>
      <c r="H60" s="46">
        <v>36</v>
      </c>
      <c r="I60" s="52">
        <v>80</v>
      </c>
      <c r="J60" s="49"/>
      <c r="K60" s="53"/>
      <c r="L60" s="14"/>
      <c r="M60" s="7"/>
    </row>
    <row r="61" s="36" customFormat="1" ht="20" customHeight="1" spans="1:13">
      <c r="A61" s="39">
        <v>59</v>
      </c>
      <c r="B61" s="24"/>
      <c r="C61" s="24" t="s">
        <v>613</v>
      </c>
      <c r="D61" s="24"/>
      <c r="E61" s="24"/>
      <c r="F61" s="24"/>
      <c r="G61" s="45" t="s">
        <v>572</v>
      </c>
      <c r="H61" s="46">
        <v>36</v>
      </c>
      <c r="I61" s="52">
        <v>80</v>
      </c>
      <c r="J61" s="49"/>
      <c r="K61" s="53"/>
      <c r="L61" s="14"/>
      <c r="M61" s="7"/>
    </row>
    <row r="62" s="36" customFormat="1" ht="20" customHeight="1" spans="1:13">
      <c r="A62" s="39">
        <v>60</v>
      </c>
      <c r="B62" s="24"/>
      <c r="C62" s="24" t="s">
        <v>614</v>
      </c>
      <c r="D62" s="24"/>
      <c r="E62" s="24"/>
      <c r="F62" s="24"/>
      <c r="G62" s="45" t="s">
        <v>572</v>
      </c>
      <c r="H62" s="46">
        <v>36</v>
      </c>
      <c r="I62" s="52">
        <v>100</v>
      </c>
      <c r="J62" s="49"/>
      <c r="K62" s="53"/>
      <c r="L62" s="14"/>
      <c r="M62" s="7"/>
    </row>
    <row r="63" s="36" customFormat="1" ht="20" customHeight="1" spans="1:13">
      <c r="A63" s="39">
        <v>61</v>
      </c>
      <c r="B63" s="24"/>
      <c r="C63" s="24" t="s">
        <v>615</v>
      </c>
      <c r="D63" s="24"/>
      <c r="E63" s="24"/>
      <c r="F63" s="24"/>
      <c r="G63" s="45" t="s">
        <v>572</v>
      </c>
      <c r="H63" s="46">
        <v>36</v>
      </c>
      <c r="I63" s="52">
        <v>80</v>
      </c>
      <c r="J63" s="49"/>
      <c r="K63" s="53"/>
      <c r="L63" s="14"/>
      <c r="M63" s="7"/>
    </row>
    <row r="64" s="36" customFormat="1" ht="20" customHeight="1" spans="1:13">
      <c r="A64" s="39">
        <v>62</v>
      </c>
      <c r="B64" s="24"/>
      <c r="C64" s="24" t="s">
        <v>591</v>
      </c>
      <c r="D64" s="24"/>
      <c r="E64" s="24"/>
      <c r="F64" s="24"/>
      <c r="G64" s="45" t="s">
        <v>572</v>
      </c>
      <c r="H64" s="46">
        <v>36</v>
      </c>
      <c r="I64" s="52">
        <v>100</v>
      </c>
      <c r="J64" s="49"/>
      <c r="K64" s="53"/>
      <c r="L64" s="54"/>
      <c r="M64" s="7"/>
    </row>
    <row r="65" s="36" customFormat="1" ht="20" customHeight="1" spans="1:13">
      <c r="A65" s="39">
        <v>63</v>
      </c>
      <c r="B65" s="24"/>
      <c r="C65" s="24" t="s">
        <v>594</v>
      </c>
      <c r="D65" s="24"/>
      <c r="E65" s="24"/>
      <c r="F65" s="24"/>
      <c r="G65" s="45" t="s">
        <v>572</v>
      </c>
      <c r="H65" s="46">
        <v>36</v>
      </c>
      <c r="I65" s="52">
        <v>80</v>
      </c>
      <c r="J65" s="49"/>
      <c r="K65" s="53"/>
      <c r="L65" s="14"/>
      <c r="M65" s="7"/>
    </row>
    <row r="66" s="36" customFormat="1" ht="20" customHeight="1" spans="1:13">
      <c r="A66" s="39">
        <v>64</v>
      </c>
      <c r="B66" s="24"/>
      <c r="C66" s="24" t="s">
        <v>595</v>
      </c>
      <c r="D66" s="24"/>
      <c r="E66" s="24"/>
      <c r="F66" s="24"/>
      <c r="G66" s="45" t="s">
        <v>572</v>
      </c>
      <c r="H66" s="46">
        <v>36</v>
      </c>
      <c r="I66" s="52">
        <v>60</v>
      </c>
      <c r="J66" s="49"/>
      <c r="K66" s="53"/>
      <c r="L66" s="14"/>
      <c r="M66" s="7"/>
    </row>
    <row r="67" s="36" customFormat="1" ht="20" customHeight="1" spans="1:13">
      <c r="A67" s="39">
        <v>65</v>
      </c>
      <c r="B67" s="24" t="s">
        <v>616</v>
      </c>
      <c r="C67" s="24" t="s">
        <v>568</v>
      </c>
      <c r="D67" s="24" t="s">
        <v>569</v>
      </c>
      <c r="E67" s="24" t="s">
        <v>570</v>
      </c>
      <c r="F67" s="24" t="s">
        <v>571</v>
      </c>
      <c r="G67" s="45" t="s">
        <v>572</v>
      </c>
      <c r="H67" s="46">
        <v>44</v>
      </c>
      <c r="I67" s="52">
        <v>60</v>
      </c>
      <c r="J67" s="49"/>
      <c r="K67" s="53"/>
      <c r="L67" s="14"/>
      <c r="M67" s="7"/>
    </row>
    <row r="68" s="36" customFormat="1" ht="20" customHeight="1" spans="1:13">
      <c r="A68" s="39">
        <v>66</v>
      </c>
      <c r="B68" s="24"/>
      <c r="C68" s="24" t="s">
        <v>617</v>
      </c>
      <c r="D68" s="24"/>
      <c r="E68" s="24"/>
      <c r="F68" s="24"/>
      <c r="G68" s="45" t="s">
        <v>618</v>
      </c>
      <c r="H68" s="46">
        <v>44</v>
      </c>
      <c r="I68" s="52">
        <v>80</v>
      </c>
      <c r="J68" s="49"/>
      <c r="K68" s="53"/>
      <c r="L68" s="54"/>
      <c r="M68" s="7"/>
    </row>
    <row r="69" s="36" customFormat="1" ht="20" customHeight="1" spans="1:13">
      <c r="A69" s="39">
        <v>67</v>
      </c>
      <c r="B69" s="24"/>
      <c r="C69" s="24" t="s">
        <v>610</v>
      </c>
      <c r="D69" s="24"/>
      <c r="E69" s="24"/>
      <c r="F69" s="24"/>
      <c r="G69" s="45" t="s">
        <v>572</v>
      </c>
      <c r="H69" s="46">
        <v>44</v>
      </c>
      <c r="I69" s="52">
        <v>50</v>
      </c>
      <c r="J69" s="49"/>
      <c r="K69" s="53"/>
      <c r="L69" s="14"/>
      <c r="M69" s="7"/>
    </row>
    <row r="70" s="36" customFormat="1" ht="20" customHeight="1" spans="1:13">
      <c r="A70" s="39">
        <v>68</v>
      </c>
      <c r="B70" s="24"/>
      <c r="C70" s="24" t="s">
        <v>619</v>
      </c>
      <c r="D70" s="24"/>
      <c r="E70" s="24" t="s">
        <v>584</v>
      </c>
      <c r="F70" s="24"/>
      <c r="G70" s="45" t="s">
        <v>572</v>
      </c>
      <c r="H70" s="46">
        <v>44</v>
      </c>
      <c r="I70" s="52">
        <v>60</v>
      </c>
      <c r="J70" s="49"/>
      <c r="K70" s="53"/>
      <c r="L70" s="54"/>
      <c r="M70" s="7"/>
    </row>
    <row r="71" s="36" customFormat="1" ht="20" customHeight="1" spans="1:13">
      <c r="A71" s="39">
        <v>69</v>
      </c>
      <c r="B71" s="24"/>
      <c r="C71" s="24" t="s">
        <v>591</v>
      </c>
      <c r="D71" s="24"/>
      <c r="E71" s="24"/>
      <c r="F71" s="24"/>
      <c r="G71" s="45" t="s">
        <v>572</v>
      </c>
      <c r="H71" s="46">
        <v>44</v>
      </c>
      <c r="I71" s="52">
        <v>100</v>
      </c>
      <c r="J71" s="49"/>
      <c r="K71" s="53"/>
      <c r="L71" s="54"/>
      <c r="M71" s="7"/>
    </row>
    <row r="72" s="36" customFormat="1" ht="20" customHeight="1" spans="1:13">
      <c r="A72" s="39">
        <v>70</v>
      </c>
      <c r="B72" s="24"/>
      <c r="C72" s="24" t="s">
        <v>594</v>
      </c>
      <c r="D72" s="24"/>
      <c r="E72" s="24"/>
      <c r="F72" s="24"/>
      <c r="G72" s="45" t="s">
        <v>572</v>
      </c>
      <c r="H72" s="46">
        <v>44</v>
      </c>
      <c r="I72" s="52">
        <v>30</v>
      </c>
      <c r="J72" s="49"/>
      <c r="K72" s="53"/>
      <c r="L72" s="14"/>
      <c r="M72" s="7"/>
    </row>
    <row r="73" s="36" customFormat="1" ht="20" customHeight="1" spans="1:13">
      <c r="A73" s="39">
        <v>71</v>
      </c>
      <c r="B73" s="12" t="s">
        <v>620</v>
      </c>
      <c r="C73" s="24" t="s">
        <v>568</v>
      </c>
      <c r="D73" s="24" t="s">
        <v>569</v>
      </c>
      <c r="E73" s="24" t="s">
        <v>570</v>
      </c>
      <c r="F73" s="24" t="s">
        <v>571</v>
      </c>
      <c r="G73" s="45" t="s">
        <v>618</v>
      </c>
      <c r="H73" s="46">
        <v>16</v>
      </c>
      <c r="I73" s="52">
        <v>60</v>
      </c>
      <c r="J73" s="49"/>
      <c r="K73" s="53"/>
      <c r="L73" s="14"/>
      <c r="M73" s="7"/>
    </row>
    <row r="74" s="36" customFormat="1" ht="20" customHeight="1" spans="1:13">
      <c r="A74" s="39">
        <v>72</v>
      </c>
      <c r="B74" s="56"/>
      <c r="C74" s="24" t="s">
        <v>573</v>
      </c>
      <c r="D74" s="24"/>
      <c r="E74" s="24"/>
      <c r="F74" s="24"/>
      <c r="G74" s="45" t="s">
        <v>618</v>
      </c>
      <c r="H74" s="46">
        <v>16</v>
      </c>
      <c r="I74" s="52">
        <v>60</v>
      </c>
      <c r="J74" s="49"/>
      <c r="K74" s="53"/>
      <c r="L74" s="54"/>
      <c r="M74" s="7"/>
    </row>
    <row r="75" s="36" customFormat="1" ht="20" customHeight="1" spans="1:13">
      <c r="A75" s="39">
        <v>73</v>
      </c>
      <c r="B75" s="56"/>
      <c r="C75" s="24" t="s">
        <v>621</v>
      </c>
      <c r="D75" s="24"/>
      <c r="E75" s="24"/>
      <c r="F75" s="24"/>
      <c r="G75" s="45" t="s">
        <v>618</v>
      </c>
      <c r="H75" s="46">
        <v>16</v>
      </c>
      <c r="I75" s="52">
        <v>100</v>
      </c>
      <c r="J75" s="49"/>
      <c r="K75" s="53"/>
      <c r="L75" s="6"/>
      <c r="M75" s="12"/>
    </row>
    <row r="76" s="36" customFormat="1" ht="18" customHeight="1" spans="1:13">
      <c r="A76" s="39">
        <v>74</v>
      </c>
      <c r="B76" s="56"/>
      <c r="C76" s="24" t="s">
        <v>611</v>
      </c>
      <c r="D76" s="24"/>
      <c r="E76" s="24"/>
      <c r="F76" s="24"/>
      <c r="G76" s="45" t="s">
        <v>618</v>
      </c>
      <c r="H76" s="46">
        <v>16</v>
      </c>
      <c r="I76" s="52">
        <v>200</v>
      </c>
      <c r="J76" s="49"/>
      <c r="K76" s="53"/>
      <c r="L76" s="54"/>
      <c r="M76" s="6"/>
    </row>
    <row r="77" s="36" customFormat="1" ht="18" customHeight="1" spans="1:13">
      <c r="A77" s="39">
        <v>75</v>
      </c>
      <c r="B77" s="56"/>
      <c r="C77" s="24" t="s">
        <v>622</v>
      </c>
      <c r="D77" s="24"/>
      <c r="E77" s="24" t="s">
        <v>584</v>
      </c>
      <c r="F77" s="24"/>
      <c r="G77" s="45" t="s">
        <v>618</v>
      </c>
      <c r="H77" s="46">
        <v>16</v>
      </c>
      <c r="I77" s="52">
        <v>100</v>
      </c>
      <c r="J77" s="49"/>
      <c r="K77" s="53"/>
      <c r="L77" s="6"/>
      <c r="M77" s="6"/>
    </row>
    <row r="78" s="36" customFormat="1" ht="18" customHeight="1" spans="1:13">
      <c r="A78" s="39">
        <v>76</v>
      </c>
      <c r="B78" s="56"/>
      <c r="C78" s="24" t="s">
        <v>623</v>
      </c>
      <c r="D78" s="24"/>
      <c r="E78" s="24"/>
      <c r="F78" s="24"/>
      <c r="G78" s="45" t="s">
        <v>618</v>
      </c>
      <c r="H78" s="46">
        <v>16</v>
      </c>
      <c r="I78" s="52">
        <v>80</v>
      </c>
      <c r="J78" s="49"/>
      <c r="K78" s="53"/>
      <c r="L78" s="14"/>
      <c r="M78" s="6"/>
    </row>
    <row r="79" s="36" customFormat="1" spans="1:13">
      <c r="A79" s="39">
        <v>77</v>
      </c>
      <c r="B79" s="56"/>
      <c r="C79" s="24" t="s">
        <v>624</v>
      </c>
      <c r="D79" s="24"/>
      <c r="E79" s="24"/>
      <c r="F79" s="24"/>
      <c r="G79" s="45" t="s">
        <v>618</v>
      </c>
      <c r="H79" s="46">
        <v>16</v>
      </c>
      <c r="I79" s="52">
        <v>100</v>
      </c>
      <c r="J79" s="49"/>
      <c r="K79" s="53"/>
      <c r="L79" s="6"/>
      <c r="M79" s="6"/>
    </row>
    <row r="80" s="36" customFormat="1" spans="1:13">
      <c r="A80" s="39">
        <v>78</v>
      </c>
      <c r="B80" s="56"/>
      <c r="C80" s="24" t="s">
        <v>625</v>
      </c>
      <c r="D80" s="24"/>
      <c r="E80" s="24"/>
      <c r="F80" s="24"/>
      <c r="G80" s="45" t="s">
        <v>618</v>
      </c>
      <c r="H80" s="46">
        <v>16</v>
      </c>
      <c r="I80" s="52">
        <v>100</v>
      </c>
      <c r="J80" s="49"/>
      <c r="K80" s="53"/>
      <c r="L80" s="6"/>
      <c r="M80" s="6"/>
    </row>
    <row r="81" s="36" customFormat="1" spans="1:13">
      <c r="A81" s="39">
        <v>79</v>
      </c>
      <c r="B81" s="56"/>
      <c r="C81" s="24" t="s">
        <v>591</v>
      </c>
      <c r="D81" s="24"/>
      <c r="E81" s="24"/>
      <c r="F81" s="24"/>
      <c r="G81" s="45" t="s">
        <v>618</v>
      </c>
      <c r="H81" s="46">
        <v>16</v>
      </c>
      <c r="I81" s="52">
        <v>100</v>
      </c>
      <c r="J81" s="49"/>
      <c r="K81" s="53"/>
      <c r="L81" s="54"/>
      <c r="M81" s="6"/>
    </row>
    <row r="82" s="36" customFormat="1" spans="1:13">
      <c r="A82" s="39">
        <v>80</v>
      </c>
      <c r="B82" s="56"/>
      <c r="C82" s="24" t="s">
        <v>592</v>
      </c>
      <c r="D82" s="24"/>
      <c r="E82" s="24"/>
      <c r="F82" s="24"/>
      <c r="G82" s="45" t="s">
        <v>618</v>
      </c>
      <c r="H82" s="46">
        <v>16</v>
      </c>
      <c r="I82" s="52">
        <v>350</v>
      </c>
      <c r="J82" s="49"/>
      <c r="K82" s="53"/>
      <c r="L82" s="14"/>
      <c r="M82" s="67"/>
    </row>
    <row r="83" s="36" customFormat="1" spans="1:13">
      <c r="A83" s="39">
        <v>81</v>
      </c>
      <c r="B83" s="56"/>
      <c r="C83" s="24" t="s">
        <v>595</v>
      </c>
      <c r="D83" s="24"/>
      <c r="E83" s="24"/>
      <c r="F83" s="24"/>
      <c r="G83" s="45" t="s">
        <v>618</v>
      </c>
      <c r="H83" s="46">
        <v>16</v>
      </c>
      <c r="I83" s="52">
        <v>60</v>
      </c>
      <c r="J83" s="49"/>
      <c r="K83" s="53"/>
      <c r="L83" s="14"/>
      <c r="M83" s="6"/>
    </row>
    <row r="84" s="36" customFormat="1" spans="1:13">
      <c r="A84" s="39">
        <v>82</v>
      </c>
      <c r="B84" s="45" t="s">
        <v>626</v>
      </c>
      <c r="C84" s="24" t="s">
        <v>568</v>
      </c>
      <c r="D84" s="24" t="s">
        <v>569</v>
      </c>
      <c r="E84" s="24" t="s">
        <v>570</v>
      </c>
      <c r="F84" s="24" t="s">
        <v>571</v>
      </c>
      <c r="G84" s="45" t="s">
        <v>618</v>
      </c>
      <c r="H84" s="46">
        <v>1</v>
      </c>
      <c r="I84" s="52">
        <v>60</v>
      </c>
      <c r="J84" s="49"/>
      <c r="K84" s="53"/>
      <c r="L84" s="14"/>
      <c r="M84" s="7"/>
    </row>
    <row r="85" s="36" customFormat="1" spans="1:13">
      <c r="A85" s="39">
        <v>83</v>
      </c>
      <c r="B85" s="45"/>
      <c r="C85" s="24" t="s">
        <v>627</v>
      </c>
      <c r="D85" s="24"/>
      <c r="E85" s="24"/>
      <c r="F85" s="24"/>
      <c r="G85" s="45" t="s">
        <v>618</v>
      </c>
      <c r="H85" s="46">
        <v>1</v>
      </c>
      <c r="I85" s="52">
        <v>80</v>
      </c>
      <c r="J85" s="49"/>
      <c r="K85" s="53"/>
      <c r="L85" s="14"/>
      <c r="M85" s="6"/>
    </row>
    <row r="86" s="36" customFormat="1" spans="1:13">
      <c r="A86" s="39">
        <v>84</v>
      </c>
      <c r="B86" s="45"/>
      <c r="C86" s="24" t="s">
        <v>610</v>
      </c>
      <c r="D86" s="24"/>
      <c r="E86" s="24"/>
      <c r="F86" s="24"/>
      <c r="G86" s="45" t="s">
        <v>618</v>
      </c>
      <c r="H86" s="46">
        <v>1</v>
      </c>
      <c r="I86" s="52">
        <v>50</v>
      </c>
      <c r="J86" s="49"/>
      <c r="K86" s="53"/>
      <c r="L86" s="14"/>
      <c r="M86" s="6"/>
    </row>
    <row r="87" s="36" customFormat="1" spans="1:13">
      <c r="A87" s="39">
        <v>85</v>
      </c>
      <c r="B87" s="45"/>
      <c r="C87" s="24" t="s">
        <v>628</v>
      </c>
      <c r="D87" s="24"/>
      <c r="E87" s="24" t="s">
        <v>584</v>
      </c>
      <c r="F87" s="24"/>
      <c r="G87" s="45" t="s">
        <v>618</v>
      </c>
      <c r="H87" s="46">
        <v>1</v>
      </c>
      <c r="I87" s="52">
        <v>80</v>
      </c>
      <c r="J87" s="49"/>
      <c r="K87" s="53"/>
      <c r="L87" s="14"/>
      <c r="M87" s="7"/>
    </row>
    <row r="88" s="36" customFormat="1" spans="1:13">
      <c r="A88" s="39">
        <v>86</v>
      </c>
      <c r="B88" s="45"/>
      <c r="C88" s="24" t="s">
        <v>591</v>
      </c>
      <c r="D88" s="24"/>
      <c r="E88" s="24"/>
      <c r="F88" s="24"/>
      <c r="G88" s="45" t="s">
        <v>618</v>
      </c>
      <c r="H88" s="46">
        <v>1</v>
      </c>
      <c r="I88" s="52">
        <v>100</v>
      </c>
      <c r="J88" s="49"/>
      <c r="K88" s="53"/>
      <c r="L88" s="54"/>
      <c r="M88" s="67"/>
    </row>
    <row r="89" s="36" customFormat="1" spans="1:13">
      <c r="A89" s="39">
        <v>87</v>
      </c>
      <c r="B89" s="45"/>
      <c r="C89" s="24" t="s">
        <v>592</v>
      </c>
      <c r="D89" s="24"/>
      <c r="E89" s="24"/>
      <c r="F89" s="24"/>
      <c r="G89" s="45" t="s">
        <v>618</v>
      </c>
      <c r="H89" s="46">
        <v>1</v>
      </c>
      <c r="I89" s="52">
        <v>350</v>
      </c>
      <c r="J89" s="49"/>
      <c r="K89" s="53"/>
      <c r="L89" s="14"/>
      <c r="M89" s="6"/>
    </row>
    <row r="90" s="36" customFormat="1" spans="1:13">
      <c r="A90" s="39">
        <v>88</v>
      </c>
      <c r="B90" s="45"/>
      <c r="C90" s="24" t="s">
        <v>593</v>
      </c>
      <c r="D90" s="24"/>
      <c r="E90" s="24"/>
      <c r="F90" s="24"/>
      <c r="G90" s="45" t="s">
        <v>618</v>
      </c>
      <c r="H90" s="46">
        <v>1</v>
      </c>
      <c r="I90" s="52">
        <v>420</v>
      </c>
      <c r="J90" s="49"/>
      <c r="K90" s="53"/>
      <c r="L90" s="14"/>
      <c r="M90" s="7"/>
    </row>
    <row r="91" s="36" customFormat="1" spans="1:13">
      <c r="A91" s="39">
        <v>89</v>
      </c>
      <c r="B91" s="24" t="s">
        <v>629</v>
      </c>
      <c r="C91" s="24" t="s">
        <v>630</v>
      </c>
      <c r="D91" s="24" t="s">
        <v>631</v>
      </c>
      <c r="E91" s="24" t="s">
        <v>632</v>
      </c>
      <c r="F91" s="24" t="s">
        <v>571</v>
      </c>
      <c r="G91" s="45" t="s">
        <v>618</v>
      </c>
      <c r="H91" s="57">
        <v>13</v>
      </c>
      <c r="I91" s="52">
        <v>100</v>
      </c>
      <c r="J91" s="68"/>
      <c r="K91" s="69"/>
      <c r="L91" s="54"/>
      <c r="M91" s="14"/>
    </row>
    <row r="92" s="36" customFormat="1" spans="1:13">
      <c r="A92" s="39">
        <v>90</v>
      </c>
      <c r="B92" s="24"/>
      <c r="C92" s="24" t="s">
        <v>633</v>
      </c>
      <c r="D92" s="24"/>
      <c r="E92" s="24"/>
      <c r="F92" s="24"/>
      <c r="G92" s="45"/>
      <c r="H92" s="58"/>
      <c r="I92" s="52"/>
      <c r="J92" s="49"/>
      <c r="K92" s="70"/>
      <c r="L92" s="54"/>
      <c r="M92" s="14"/>
    </row>
    <row r="93" s="36" customFormat="1" spans="1:13">
      <c r="A93" s="39">
        <v>91</v>
      </c>
      <c r="B93" s="24"/>
      <c r="C93" s="24" t="s">
        <v>634</v>
      </c>
      <c r="D93" s="24"/>
      <c r="E93" s="24" t="s">
        <v>635</v>
      </c>
      <c r="F93" s="24"/>
      <c r="G93" s="45" t="s">
        <v>618</v>
      </c>
      <c r="H93" s="57">
        <v>13</v>
      </c>
      <c r="I93" s="52">
        <v>50</v>
      </c>
      <c r="J93" s="68"/>
      <c r="K93" s="69"/>
      <c r="L93" s="54"/>
      <c r="M93" s="14"/>
    </row>
    <row r="94" s="36" customFormat="1" ht="24" spans="1:13">
      <c r="A94" s="39">
        <v>92</v>
      </c>
      <c r="B94" s="24"/>
      <c r="C94" s="24" t="s">
        <v>636</v>
      </c>
      <c r="D94" s="24"/>
      <c r="E94" s="24"/>
      <c r="F94" s="24"/>
      <c r="G94" s="45"/>
      <c r="H94" s="58"/>
      <c r="I94" s="52"/>
      <c r="J94" s="49"/>
      <c r="K94" s="70"/>
      <c r="L94" s="54"/>
      <c r="M94" s="14"/>
    </row>
    <row r="95" s="36" customFormat="1" spans="1:13">
      <c r="A95" s="39">
        <v>93</v>
      </c>
      <c r="B95" s="24"/>
      <c r="C95" s="24" t="s">
        <v>592</v>
      </c>
      <c r="D95" s="24"/>
      <c r="E95" s="24" t="s">
        <v>592</v>
      </c>
      <c r="F95" s="24" t="s">
        <v>637</v>
      </c>
      <c r="G95" s="45" t="s">
        <v>618</v>
      </c>
      <c r="H95" s="57">
        <v>13</v>
      </c>
      <c r="I95" s="52">
        <v>350</v>
      </c>
      <c r="J95" s="49"/>
      <c r="K95" s="53"/>
      <c r="L95" s="54"/>
      <c r="M95" s="14"/>
    </row>
    <row r="96" s="36" customFormat="1" ht="24" spans="1:13">
      <c r="A96" s="39">
        <v>94</v>
      </c>
      <c r="B96" s="59"/>
      <c r="C96" s="24" t="s">
        <v>638</v>
      </c>
      <c r="D96" s="59"/>
      <c r="E96" s="59" t="s">
        <v>639</v>
      </c>
      <c r="F96" s="59"/>
      <c r="G96" s="60" t="s">
        <v>618</v>
      </c>
      <c r="H96" s="57">
        <v>13</v>
      </c>
      <c r="I96" s="71">
        <v>100</v>
      </c>
      <c r="J96" s="49"/>
      <c r="K96" s="53"/>
      <c r="L96" s="54"/>
      <c r="M96" s="14"/>
    </row>
    <row r="97" s="36" customFormat="1" ht="24" customHeight="1" spans="1:13">
      <c r="A97" s="61">
        <v>95</v>
      </c>
      <c r="B97" s="62" t="s">
        <v>12</v>
      </c>
      <c r="C97" s="63"/>
      <c r="D97" s="64"/>
      <c r="E97" s="65"/>
      <c r="F97" s="65"/>
      <c r="G97" s="65"/>
      <c r="H97" s="66"/>
      <c r="I97" s="66"/>
      <c r="J97" s="72"/>
      <c r="K97" s="23"/>
      <c r="L97" s="73"/>
      <c r="M97" s="67"/>
    </row>
  </sheetData>
  <mergeCells count="62">
    <mergeCell ref="A1:M1"/>
    <mergeCell ref="B97:D97"/>
    <mergeCell ref="B3:B22"/>
    <mergeCell ref="B23:B41"/>
    <mergeCell ref="B42:B54"/>
    <mergeCell ref="B55:B66"/>
    <mergeCell ref="B67:B72"/>
    <mergeCell ref="B73:B83"/>
    <mergeCell ref="B84:B90"/>
    <mergeCell ref="B91:B96"/>
    <mergeCell ref="D3:D22"/>
    <mergeCell ref="D23:D41"/>
    <mergeCell ref="D42:D46"/>
    <mergeCell ref="D47:D54"/>
    <mergeCell ref="D55:D66"/>
    <mergeCell ref="D67:D72"/>
    <mergeCell ref="D73:D83"/>
    <mergeCell ref="D84:D90"/>
    <mergeCell ref="D91:D96"/>
    <mergeCell ref="E3:E10"/>
    <mergeCell ref="E11:E22"/>
    <mergeCell ref="E23:E28"/>
    <mergeCell ref="E29:E41"/>
    <mergeCell ref="E42:E46"/>
    <mergeCell ref="E47:E54"/>
    <mergeCell ref="E55:E59"/>
    <mergeCell ref="E60:E66"/>
    <mergeCell ref="E67:E69"/>
    <mergeCell ref="E70:E72"/>
    <mergeCell ref="E73:E76"/>
    <mergeCell ref="E77:E83"/>
    <mergeCell ref="E84:E86"/>
    <mergeCell ref="E87:E90"/>
    <mergeCell ref="E91:E92"/>
    <mergeCell ref="E93:E94"/>
    <mergeCell ref="F3:F5"/>
    <mergeCell ref="F8:F22"/>
    <mergeCell ref="F23:F37"/>
    <mergeCell ref="F39:F41"/>
    <mergeCell ref="F42:F44"/>
    <mergeCell ref="F47:F51"/>
    <mergeCell ref="F53:F54"/>
    <mergeCell ref="F55:F66"/>
    <mergeCell ref="F67:F72"/>
    <mergeCell ref="F73:F83"/>
    <mergeCell ref="F84:F90"/>
    <mergeCell ref="F91:F94"/>
    <mergeCell ref="F95:F96"/>
    <mergeCell ref="G91:G92"/>
    <mergeCell ref="G93:G94"/>
    <mergeCell ref="H91:H92"/>
    <mergeCell ref="H93:H94"/>
    <mergeCell ref="I91:I92"/>
    <mergeCell ref="I93:I94"/>
    <mergeCell ref="J91:J92"/>
    <mergeCell ref="J93:J94"/>
    <mergeCell ref="K91:K92"/>
    <mergeCell ref="K93:K94"/>
    <mergeCell ref="L91:L92"/>
    <mergeCell ref="L93:L94"/>
    <mergeCell ref="M91:M92"/>
    <mergeCell ref="M93:M94"/>
  </mergeCells>
  <printOptions horizontalCentered="1"/>
  <pageMargins left="0.751388888888889" right="0.751388888888889" top="1" bottom="1" header="0.5" footer="0.5"/>
  <pageSetup paperSize="1" scale="84" fitToHeight="0" orientation="portrait" horizontalDpi="600"/>
  <headerFooter/>
  <rowBreaks count="4" manualBreakCount="4">
    <brk id="41" max="16383" man="1"/>
    <brk id="72" max="16383" man="1"/>
    <brk id="97" max="16383" man="1"/>
    <brk id="98"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workbookViewId="0">
      <selection activeCell="J17" sqref="J17"/>
    </sheetView>
  </sheetViews>
  <sheetFormatPr defaultColWidth="9" defaultRowHeight="13.5"/>
  <cols>
    <col min="1" max="1" width="5.375" style="1" customWidth="1"/>
    <col min="2" max="2" width="8.25" style="1" customWidth="1"/>
    <col min="3" max="3" width="9" style="1"/>
    <col min="4" max="4" width="19.875" style="1" customWidth="1"/>
    <col min="5" max="5" width="27.375" style="1" hidden="1" customWidth="1"/>
    <col min="6" max="7" width="9" style="1"/>
    <col min="8" max="8" width="9" style="1" hidden="1" customWidth="1"/>
    <col min="9" max="9" width="9.25" style="2"/>
    <col min="10" max="10" width="14.5" style="2"/>
    <col min="11" max="11" width="20.125" style="1" hidden="1" customWidth="1"/>
    <col min="12" max="12" width="11.25" style="1" customWidth="1"/>
    <col min="13" max="26" width="9" style="1"/>
  </cols>
  <sheetData>
    <row r="1" s="1" customFormat="1" ht="32" customHeight="1" spans="1:12">
      <c r="A1" s="3" t="s">
        <v>640</v>
      </c>
      <c r="B1" s="3"/>
      <c r="C1" s="3"/>
      <c r="D1" s="3"/>
      <c r="E1" s="3"/>
      <c r="F1" s="3"/>
      <c r="G1" s="3"/>
      <c r="H1" s="3"/>
      <c r="I1" s="22"/>
      <c r="J1" s="22"/>
      <c r="K1" s="3"/>
      <c r="L1" s="3"/>
    </row>
    <row r="2" s="1" customFormat="1" ht="24.75" spans="1:12">
      <c r="A2" s="4" t="s">
        <v>2</v>
      </c>
      <c r="B2" s="4" t="s">
        <v>490</v>
      </c>
      <c r="C2" s="4" t="s">
        <v>641</v>
      </c>
      <c r="D2" s="4" t="s">
        <v>14</v>
      </c>
      <c r="E2" s="4" t="s">
        <v>15</v>
      </c>
      <c r="F2" s="4" t="s">
        <v>16</v>
      </c>
      <c r="G2" s="4" t="s">
        <v>493</v>
      </c>
      <c r="H2" s="5" t="s">
        <v>542</v>
      </c>
      <c r="I2" s="23" t="s">
        <v>19</v>
      </c>
      <c r="J2" s="23" t="s">
        <v>20</v>
      </c>
      <c r="K2" s="24" t="s">
        <v>25</v>
      </c>
      <c r="L2" s="25" t="s">
        <v>5</v>
      </c>
    </row>
    <row r="3" s="1" customFormat="1" ht="36" spans="1:12">
      <c r="A3" s="6">
        <v>1</v>
      </c>
      <c r="B3" s="7" t="s">
        <v>642</v>
      </c>
      <c r="C3" s="8" t="s">
        <v>643</v>
      </c>
      <c r="D3" s="8" t="s">
        <v>644</v>
      </c>
      <c r="E3" s="8" t="s">
        <v>645</v>
      </c>
      <c r="F3" s="9" t="s">
        <v>646</v>
      </c>
      <c r="G3" s="8">
        <v>108</v>
      </c>
      <c r="H3" s="8">
        <v>200</v>
      </c>
      <c r="I3" s="26"/>
      <c r="J3" s="26"/>
      <c r="K3" s="27" t="s">
        <v>647</v>
      </c>
      <c r="L3" s="28"/>
    </row>
    <row r="4" s="1" customFormat="1" spans="1:12">
      <c r="A4" s="6">
        <v>2</v>
      </c>
      <c r="B4" s="7"/>
      <c r="C4" s="9" t="s">
        <v>648</v>
      </c>
      <c r="D4" s="9" t="s">
        <v>648</v>
      </c>
      <c r="E4" s="8" t="s">
        <v>649</v>
      </c>
      <c r="F4" s="9" t="s">
        <v>487</v>
      </c>
      <c r="G4" s="8">
        <v>180</v>
      </c>
      <c r="H4" s="8">
        <v>150</v>
      </c>
      <c r="I4" s="26"/>
      <c r="J4" s="26"/>
      <c r="K4" s="6" t="s">
        <v>650</v>
      </c>
      <c r="L4" s="28"/>
    </row>
    <row r="5" s="1" customFormat="1" spans="1:12">
      <c r="A5" s="6">
        <v>3</v>
      </c>
      <c r="B5" s="7"/>
      <c r="C5" s="9" t="s">
        <v>651</v>
      </c>
      <c r="D5" s="9" t="s">
        <v>651</v>
      </c>
      <c r="E5" s="8" t="s">
        <v>652</v>
      </c>
      <c r="F5" s="9" t="s">
        <v>646</v>
      </c>
      <c r="G5" s="8">
        <v>2144</v>
      </c>
      <c r="H5" s="8">
        <v>68</v>
      </c>
      <c r="I5" s="26"/>
      <c r="J5" s="26"/>
      <c r="K5" s="6" t="s">
        <v>653</v>
      </c>
      <c r="L5" s="28"/>
    </row>
    <row r="6" s="1" customFormat="1" spans="1:12">
      <c r="A6" s="6">
        <v>4</v>
      </c>
      <c r="B6" s="7"/>
      <c r="C6" s="9" t="s">
        <v>654</v>
      </c>
      <c r="D6" s="9" t="s">
        <v>654</v>
      </c>
      <c r="E6" s="8" t="s">
        <v>655</v>
      </c>
      <c r="F6" s="9" t="s">
        <v>646</v>
      </c>
      <c r="G6" s="8">
        <v>2144</v>
      </c>
      <c r="H6" s="8">
        <v>15</v>
      </c>
      <c r="I6" s="26"/>
      <c r="J6" s="26"/>
      <c r="K6" s="6" t="s">
        <v>656</v>
      </c>
      <c r="L6" s="28"/>
    </row>
    <row r="7" s="1" customFormat="1" spans="1:12">
      <c r="A7" s="6">
        <v>5</v>
      </c>
      <c r="B7" s="7"/>
      <c r="C7" s="9" t="s">
        <v>657</v>
      </c>
      <c r="D7" s="9" t="s">
        <v>657</v>
      </c>
      <c r="E7" s="8" t="s">
        <v>658</v>
      </c>
      <c r="F7" s="9" t="s">
        <v>646</v>
      </c>
      <c r="G7" s="8">
        <v>1000</v>
      </c>
      <c r="H7" s="8">
        <v>25</v>
      </c>
      <c r="I7" s="26"/>
      <c r="J7" s="26"/>
      <c r="K7" s="6" t="s">
        <v>659</v>
      </c>
      <c r="L7" s="28"/>
    </row>
    <row r="8" s="1" customFormat="1" ht="24" spans="1:12">
      <c r="A8" s="6">
        <v>6</v>
      </c>
      <c r="B8" s="7"/>
      <c r="C8" s="10" t="s">
        <v>660</v>
      </c>
      <c r="D8" s="11" t="s">
        <v>661</v>
      </c>
      <c r="E8" s="11" t="s">
        <v>662</v>
      </c>
      <c r="F8" s="11" t="s">
        <v>29</v>
      </c>
      <c r="G8" s="10">
        <v>4</v>
      </c>
      <c r="H8" s="8">
        <f>50+100+600</f>
        <v>750</v>
      </c>
      <c r="I8" s="26"/>
      <c r="J8" s="26"/>
      <c r="K8" s="29" t="s">
        <v>663</v>
      </c>
      <c r="L8" s="28"/>
    </row>
    <row r="9" s="1" customFormat="1" ht="24" spans="1:12">
      <c r="A9" s="6">
        <v>7</v>
      </c>
      <c r="B9" s="7"/>
      <c r="C9" s="12" t="s">
        <v>664</v>
      </c>
      <c r="D9" s="13" t="s">
        <v>665</v>
      </c>
      <c r="E9" s="13" t="s">
        <v>666</v>
      </c>
      <c r="F9" s="13" t="s">
        <v>505</v>
      </c>
      <c r="G9" s="12">
        <v>10</v>
      </c>
      <c r="H9" s="7">
        <v>600</v>
      </c>
      <c r="I9" s="26"/>
      <c r="J9" s="30"/>
      <c r="K9" s="7" t="s">
        <v>667</v>
      </c>
      <c r="L9" s="28"/>
    </row>
    <row r="10" s="1" customFormat="1" ht="24" spans="1:12">
      <c r="A10" s="6">
        <v>8</v>
      </c>
      <c r="B10" s="7"/>
      <c r="C10" s="12"/>
      <c r="D10" s="13" t="s">
        <v>668</v>
      </c>
      <c r="E10" s="13" t="s">
        <v>669</v>
      </c>
      <c r="F10" s="13" t="s">
        <v>505</v>
      </c>
      <c r="G10" s="12">
        <v>10</v>
      </c>
      <c r="H10" s="7">
        <v>300</v>
      </c>
      <c r="I10" s="26"/>
      <c r="J10" s="30"/>
      <c r="K10" s="7" t="s">
        <v>670</v>
      </c>
      <c r="L10" s="28"/>
    </row>
    <row r="11" spans="1:12">
      <c r="A11" s="6">
        <v>9</v>
      </c>
      <c r="B11" s="7" t="s">
        <v>671</v>
      </c>
      <c r="C11" s="14" t="s">
        <v>672</v>
      </c>
      <c r="D11" s="6" t="s">
        <v>648</v>
      </c>
      <c r="E11" s="7" t="s">
        <v>649</v>
      </c>
      <c r="F11" s="14" t="s">
        <v>487</v>
      </c>
      <c r="G11" s="6">
        <v>9</v>
      </c>
      <c r="H11" s="6">
        <v>150</v>
      </c>
      <c r="I11" s="26"/>
      <c r="J11" s="30"/>
      <c r="K11" s="6" t="s">
        <v>650</v>
      </c>
      <c r="L11" s="28"/>
    </row>
    <row r="12" spans="1:12">
      <c r="A12" s="6">
        <v>10</v>
      </c>
      <c r="B12" s="15"/>
      <c r="C12" s="6" t="s">
        <v>673</v>
      </c>
      <c r="D12" s="6" t="s">
        <v>648</v>
      </c>
      <c r="E12" s="7" t="s">
        <v>674</v>
      </c>
      <c r="F12" s="14" t="s">
        <v>487</v>
      </c>
      <c r="G12" s="6">
        <v>3</v>
      </c>
      <c r="H12" s="6">
        <v>150</v>
      </c>
      <c r="I12" s="26"/>
      <c r="J12" s="30"/>
      <c r="K12" s="6" t="s">
        <v>650</v>
      </c>
      <c r="L12" s="28"/>
    </row>
    <row r="13" spans="1:12">
      <c r="A13" s="6">
        <v>11</v>
      </c>
      <c r="B13" s="15"/>
      <c r="C13" s="6" t="s">
        <v>675</v>
      </c>
      <c r="D13" s="6" t="s">
        <v>676</v>
      </c>
      <c r="E13" s="7" t="s">
        <v>674</v>
      </c>
      <c r="F13" s="14" t="s">
        <v>487</v>
      </c>
      <c r="G13" s="6">
        <v>3</v>
      </c>
      <c r="H13" s="6">
        <v>500</v>
      </c>
      <c r="I13" s="26"/>
      <c r="J13" s="30"/>
      <c r="K13" s="6" t="s">
        <v>677</v>
      </c>
      <c r="L13" s="28"/>
    </row>
    <row r="14" spans="1:12">
      <c r="A14" s="6">
        <v>12</v>
      </c>
      <c r="B14" s="15"/>
      <c r="C14" s="6" t="s">
        <v>675</v>
      </c>
      <c r="D14" s="6" t="s">
        <v>648</v>
      </c>
      <c r="E14" s="7" t="s">
        <v>674</v>
      </c>
      <c r="F14" s="14" t="s">
        <v>487</v>
      </c>
      <c r="G14" s="6">
        <v>3</v>
      </c>
      <c r="H14" s="6">
        <v>150</v>
      </c>
      <c r="I14" s="26"/>
      <c r="J14" s="30"/>
      <c r="K14" s="6" t="s">
        <v>650</v>
      </c>
      <c r="L14" s="28"/>
    </row>
    <row r="15" spans="1:12">
      <c r="A15" s="6">
        <v>13</v>
      </c>
      <c r="B15" s="15"/>
      <c r="C15" s="6" t="s">
        <v>472</v>
      </c>
      <c r="D15" s="12" t="s">
        <v>678</v>
      </c>
      <c r="E15" s="6" t="s">
        <v>679</v>
      </c>
      <c r="F15" s="13" t="s">
        <v>29</v>
      </c>
      <c r="G15" s="12">
        <v>2</v>
      </c>
      <c r="H15" s="7">
        <v>800</v>
      </c>
      <c r="I15" s="26"/>
      <c r="J15" s="30"/>
      <c r="K15" s="6" t="s">
        <v>680</v>
      </c>
      <c r="L15" s="28"/>
    </row>
    <row r="16" ht="24" spans="1:12">
      <c r="A16" s="6">
        <v>14</v>
      </c>
      <c r="B16" s="15"/>
      <c r="C16" s="16" t="s">
        <v>681</v>
      </c>
      <c r="D16" s="16" t="s">
        <v>682</v>
      </c>
      <c r="E16" s="16" t="s">
        <v>683</v>
      </c>
      <c r="F16" s="13" t="s">
        <v>29</v>
      </c>
      <c r="G16" s="6">
        <v>1</v>
      </c>
      <c r="H16" s="6">
        <f>200+300+150</f>
        <v>650</v>
      </c>
      <c r="I16" s="26"/>
      <c r="J16" s="30"/>
      <c r="K16" s="12" t="s">
        <v>684</v>
      </c>
      <c r="L16" s="28"/>
    </row>
    <row r="17" ht="56.25" spans="1:12">
      <c r="A17" s="6">
        <v>15</v>
      </c>
      <c r="B17" s="15"/>
      <c r="C17" s="16" t="s">
        <v>685</v>
      </c>
      <c r="D17" s="16" t="s">
        <v>686</v>
      </c>
      <c r="E17" s="16" t="s">
        <v>683</v>
      </c>
      <c r="F17" s="13" t="s">
        <v>29</v>
      </c>
      <c r="G17" s="6">
        <v>1</v>
      </c>
      <c r="H17" s="6">
        <f>200+100+500+300+800+200+150+100+150</f>
        <v>2500</v>
      </c>
      <c r="I17" s="26"/>
      <c r="J17" s="30"/>
      <c r="K17" s="12" t="s">
        <v>687</v>
      </c>
      <c r="L17" s="28"/>
    </row>
    <row r="18" ht="33.75" spans="1:12">
      <c r="A18" s="6">
        <v>16</v>
      </c>
      <c r="B18" s="15"/>
      <c r="C18" s="16" t="s">
        <v>688</v>
      </c>
      <c r="D18" s="16" t="s">
        <v>689</v>
      </c>
      <c r="E18" s="16" t="s">
        <v>683</v>
      </c>
      <c r="F18" s="13" t="s">
        <v>29</v>
      </c>
      <c r="G18" s="6">
        <v>1</v>
      </c>
      <c r="H18" s="6">
        <f>200+100+100+150+150+300</f>
        <v>1000</v>
      </c>
      <c r="I18" s="26"/>
      <c r="J18" s="30"/>
      <c r="K18" s="31" t="s">
        <v>690</v>
      </c>
      <c r="L18" s="28"/>
    </row>
    <row r="19" ht="36" spans="1:12">
      <c r="A19" s="6">
        <v>17</v>
      </c>
      <c r="B19" s="15"/>
      <c r="C19" s="16" t="s">
        <v>691</v>
      </c>
      <c r="D19" s="16" t="s">
        <v>692</v>
      </c>
      <c r="E19" s="16" t="s">
        <v>693</v>
      </c>
      <c r="F19" s="13" t="s">
        <v>29</v>
      </c>
      <c r="G19" s="6">
        <v>1</v>
      </c>
      <c r="H19" s="6">
        <f>200+100+500+500+100</f>
        <v>1400</v>
      </c>
      <c r="I19" s="26"/>
      <c r="J19" s="30"/>
      <c r="K19" s="31" t="s">
        <v>694</v>
      </c>
      <c r="L19" s="28"/>
    </row>
    <row r="20" ht="24" spans="1:12">
      <c r="A20" s="6">
        <v>18</v>
      </c>
      <c r="B20" s="15"/>
      <c r="C20" s="16" t="s">
        <v>695</v>
      </c>
      <c r="D20" s="16" t="s">
        <v>696</v>
      </c>
      <c r="E20" s="16" t="s">
        <v>697</v>
      </c>
      <c r="F20" s="13" t="s">
        <v>29</v>
      </c>
      <c r="G20" s="6">
        <v>1</v>
      </c>
      <c r="H20" s="6">
        <f>1780+780</f>
        <v>2560</v>
      </c>
      <c r="I20" s="26"/>
      <c r="J20" s="30"/>
      <c r="K20" s="31" t="s">
        <v>698</v>
      </c>
      <c r="L20" s="28"/>
    </row>
    <row r="21" ht="24" spans="1:12">
      <c r="A21" s="6">
        <v>19</v>
      </c>
      <c r="B21" s="15"/>
      <c r="C21" s="16" t="s">
        <v>699</v>
      </c>
      <c r="D21" s="17"/>
      <c r="E21" s="16" t="s">
        <v>700</v>
      </c>
      <c r="F21" s="16" t="s">
        <v>29</v>
      </c>
      <c r="G21" s="6">
        <v>1</v>
      </c>
      <c r="H21" s="6">
        <v>10000</v>
      </c>
      <c r="I21" s="26"/>
      <c r="J21" s="30"/>
      <c r="K21" s="31" t="s">
        <v>701</v>
      </c>
      <c r="L21" s="28"/>
    </row>
    <row r="22" ht="20" customHeight="1" spans="1:12">
      <c r="A22" s="18" t="s">
        <v>12</v>
      </c>
      <c r="B22" s="19"/>
      <c r="C22" s="19"/>
      <c r="D22" s="19"/>
      <c r="E22" s="20"/>
      <c r="F22" s="21"/>
      <c r="G22" s="21"/>
      <c r="H22" s="21"/>
      <c r="I22" s="32"/>
      <c r="J22" s="33"/>
      <c r="K22" s="34"/>
      <c r="L22" s="35"/>
    </row>
  </sheetData>
  <mergeCells count="6">
    <mergeCell ref="A1:L1"/>
    <mergeCell ref="C21:D21"/>
    <mergeCell ref="A22:E22"/>
    <mergeCell ref="B3:B10"/>
    <mergeCell ref="B11:B21"/>
    <mergeCell ref="C9:C10"/>
  </mergeCells>
  <printOptions horizontalCentered="1"/>
  <pageMargins left="0.751388888888889" right="0.751388888888889" top="1" bottom="1" header="0.5" footer="0.5"/>
  <pageSetup paperSize="1" scale="9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7</vt:i4>
      </vt:variant>
    </vt:vector>
  </HeadingPairs>
  <TitlesOfParts>
    <vt:vector size="7" baseType="lpstr">
      <vt:lpstr>汇总表</vt:lpstr>
      <vt:lpstr>材料见证取样检测</vt:lpstr>
      <vt:lpstr>实体结构检测</vt:lpstr>
      <vt:lpstr>钢结构检测</vt:lpstr>
      <vt:lpstr>人防实体检测</vt:lpstr>
      <vt:lpstr>人防设备检测</vt:lpstr>
      <vt:lpstr>市政工程检测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我叫小学生</cp:lastModifiedBy>
  <dcterms:created xsi:type="dcterms:W3CDTF">2025-09-10T16:52:00Z</dcterms:created>
  <dcterms:modified xsi:type="dcterms:W3CDTF">2025-11-07T07:37:43Z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B6FE2410FEA34D8990F46D36051F2201_13</vt:lpwstr>
  </property>
  <property fmtid="{D5CDD505-2E9C-101B-9397-08002B2CF9AE}" pid="3" name="KSOProductBuildVer">
    <vt:lpwstr>2052-11.8.2.12085</vt:lpwstr>
  </property>
</Properties>
</file>