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78" activeTab="2"/>
  </bookViews>
  <sheets>
    <sheet name="封-2 工程量清单封面" sheetId="22" r:id="rId1"/>
    <sheet name="汇总表" sheetId="23" r:id="rId2"/>
    <sheet name="明细表" sheetId="21" r:id="rId3"/>
    <sheet name="1、材料见证取样检测" sheetId="2" r:id="rId4"/>
    <sheet name="2、地基基础及基坑支护" sheetId="3" r:id="rId5"/>
    <sheet name="3、主体结构检测" sheetId="4" r:id="rId6"/>
    <sheet name="4、人防主体结构检测" sheetId="5" r:id="rId7"/>
    <sheet name="5、人防设备检测" sheetId="6" r:id="rId8"/>
    <sheet name="6、室内环境检测" sheetId="8" r:id="rId9"/>
    <sheet name="7、防雷及电气检测" sheetId="9" r:id="rId10"/>
    <sheet name="8、园林绿化检测" sheetId="10" r:id="rId11"/>
    <sheet name="9、节能与绿建检测" sheetId="11" r:id="rId12"/>
    <sheet name="10、智能检测" sheetId="12" r:id="rId13"/>
    <sheet name="11、消防设施检测" sheetId="13" r:id="rId14"/>
    <sheet name="12、消防材料检测" sheetId="19" r:id="rId15"/>
    <sheet name="13、幕墙门窗检测" sheetId="14" r:id="rId16"/>
    <sheet name="14、市政实体检测" sheetId="18" r:id="rId17"/>
    <sheet name="1、基坑监测" sheetId="15" r:id="rId18"/>
    <sheet name="2、主体沉降监测" sheetId="16" r:id="rId19"/>
    <sheet name="3、高支模监测" sheetId="17" r:id="rId20"/>
  </sheets>
  <definedNames>
    <definedName name="_xlnm._FilterDatabase" localSheetId="3" hidden="1">'1、材料见证取样检测'!$A$3:$P$131</definedName>
    <definedName name="_xlnm._FilterDatabase" localSheetId="5" hidden="1">'3、主体结构检测'!$A$3:$Q$15</definedName>
    <definedName name="_xlnm._FilterDatabase" localSheetId="9" hidden="1">'7、防雷及电气检测'!$A$3:$P$15</definedName>
    <definedName name="_xlnm._FilterDatabase" localSheetId="12" hidden="1">'10、智能检测'!$A$3:$P$37</definedName>
    <definedName name="_xlnm._FilterDatabase" localSheetId="16" hidden="1">'14、市政实体检测'!$A$3:$P$36</definedName>
    <definedName name="_xlnm._FilterDatabase" localSheetId="7" hidden="1">'5、人防设备检测'!$A$4:$R$124</definedName>
    <definedName name="_xlnm.Print_Area" localSheetId="3">'1、材料见证取样检测'!$A$1:$O$131</definedName>
    <definedName name="_xlnm.Print_Area" localSheetId="17">'1、基坑监测'!$A$1:$O$24</definedName>
    <definedName name="_xlnm.Print_Area" localSheetId="12">'10、智能检测'!$A$1:$O$37</definedName>
    <definedName name="_xlnm.Print_Area" localSheetId="13">'11、消防设施检测'!$A$1:$M$5</definedName>
    <definedName name="_xlnm.Print_Area" localSheetId="14">'12、消防材料检测'!$A$1:$O$18</definedName>
    <definedName name="_xlnm.Print_Area" localSheetId="15">'13、幕墙门窗检测'!$A$1:$O$15</definedName>
    <definedName name="_xlnm.Print_Area" localSheetId="16">'14、市政实体检测'!$A$1:$P$36</definedName>
    <definedName name="_xlnm.Print_Area" localSheetId="4">'2、地基基础及基坑支护'!$A$1:$Q$19</definedName>
    <definedName name="_xlnm.Print_Area" localSheetId="18">'2、主体沉降监测'!$A$1:$N$11</definedName>
    <definedName name="_xlnm.Print_Area" localSheetId="19">'3、高支模监测'!$A$1:$N$15</definedName>
    <definedName name="_xlnm.Print_Area" localSheetId="5">'3、主体结构检测'!$A$1:$P$15</definedName>
    <definedName name="_xlnm.Print_Area" localSheetId="6">'4、人防主体结构检测'!$A$1:$P$9</definedName>
    <definedName name="_xlnm.Print_Area" localSheetId="7">'5、人防设备检测'!$A$1:$Q$124</definedName>
    <definedName name="_xlnm.Print_Area" localSheetId="8">'6、室内环境检测'!$A$1:$O$5</definedName>
    <definedName name="_xlnm.Print_Area" localSheetId="9">'7、防雷及电气检测'!$A$1:$O$15</definedName>
    <definedName name="_xlnm.Print_Area" localSheetId="10">'8、园林绿化检测'!$A$1:$O$8</definedName>
    <definedName name="_xlnm.Print_Area" localSheetId="11">'9、节能与绿建检测'!$A$1:$O$26</definedName>
    <definedName name="_xlnm.Print_Area" localSheetId="2">明细表!$A$1:$H$26</definedName>
    <definedName name="_xlnm.Print_Titles" localSheetId="3">'1、材料见证取样检测'!$1:$3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001</author>
  </authors>
  <commentList>
    <comment ref="E27" authorId="0">
      <text>
        <r>
          <rPr>
            <b/>
            <sz val="9"/>
            <rFont val="宋体"/>
            <charset val="134"/>
          </rPr>
          <t>001:</t>
        </r>
        <r>
          <rPr>
            <sz val="9"/>
            <rFont val="宋体"/>
            <charset val="134"/>
          </rPr>
          <t xml:space="preserve">
最大间隙：每20m（路宽＜9m；1点、路宽9~15m；2点、路宽＞15m；3点）</t>
        </r>
      </text>
    </comment>
  </commentList>
</comments>
</file>

<file path=xl/sharedStrings.xml><?xml version="1.0" encoding="utf-8"?>
<sst xmlns="http://schemas.openxmlformats.org/spreadsheetml/2006/main" count="1803" uniqueCount="892">
  <si>
    <t>天河区凌塘村城中村改造项目-首开区复建安置房及配套设施工程第三方检测及监测技术服务</t>
  </si>
  <si>
    <t>投标报价工程量清单</t>
  </si>
  <si>
    <t>年   月   日</t>
  </si>
  <si>
    <t>报标报价汇总表</t>
  </si>
  <si>
    <t>工程名称：天河区凌塘村城中村改造项目-首开区复建安置房及配套设施工程第三方检测及监测技术服务</t>
  </si>
  <si>
    <t>　序号</t>
  </si>
  <si>
    <t>工作内容</t>
  </si>
  <si>
    <t>含税最高投标总限价（元）</t>
  </si>
  <si>
    <t>含税投标报价总价（元）</t>
  </si>
  <si>
    <t>不含税投标报价总价（元）</t>
  </si>
  <si>
    <t>税率</t>
  </si>
  <si>
    <t>税金（元）</t>
  </si>
  <si>
    <t>备注</t>
  </si>
  <si>
    <t>检测项目</t>
  </si>
  <si>
    <t>%</t>
  </si>
  <si>
    <t>监测项目</t>
  </si>
  <si>
    <t>合计（1+2）</t>
  </si>
  <si>
    <t>天河区凌塘村城中村改造项目-首开区复建安置房及配套设施工程
第三方检测及监测技术服务投标报价明细表</t>
  </si>
  <si>
    <t>序号</t>
  </si>
  <si>
    <t>项目名称</t>
  </si>
  <si>
    <t>单位</t>
  </si>
  <si>
    <t>含税投标总价（元）</t>
  </si>
  <si>
    <t>不含税投标总价（元）</t>
  </si>
  <si>
    <t>一</t>
  </si>
  <si>
    <t>材料见证取样检测</t>
  </si>
  <si>
    <t>项</t>
  </si>
  <si>
    <t>地基基础及基坑支护检测</t>
  </si>
  <si>
    <t>主体结构检测</t>
  </si>
  <si>
    <t>人防主体结构检测</t>
  </si>
  <si>
    <t>人防设备检测</t>
  </si>
  <si>
    <t>室内环境检测</t>
  </si>
  <si>
    <t>防雷及电气检测</t>
  </si>
  <si>
    <t>园林绿化检测</t>
  </si>
  <si>
    <t>节能与绿建检测</t>
  </si>
  <si>
    <t>智能检测</t>
  </si>
  <si>
    <t>消防设施检测</t>
  </si>
  <si>
    <t>消防材料检测</t>
  </si>
  <si>
    <t>幕墙门窗检测</t>
  </si>
  <si>
    <t>市政实体检测</t>
  </si>
  <si>
    <t>暂列金</t>
  </si>
  <si>
    <t>此金额为不可竞争性费用</t>
  </si>
  <si>
    <t>小计（1+2+......+15)</t>
  </si>
  <si>
    <t>二</t>
  </si>
  <si>
    <t>基坑监测</t>
  </si>
  <si>
    <t>主体沉降监测</t>
  </si>
  <si>
    <t>高支模监测</t>
  </si>
  <si>
    <t>小计（1+2+3+4)</t>
  </si>
  <si>
    <t>总价（一+二）</t>
  </si>
  <si>
    <t>材料见证取样检测投标报价工程量清单</t>
  </si>
  <si>
    <t>检测参数</t>
  </si>
  <si>
    <t>检测频率</t>
  </si>
  <si>
    <t>工程量</t>
  </si>
  <si>
    <t>指导价单价（元）</t>
  </si>
  <si>
    <t>指导价小计（元）</t>
  </si>
  <si>
    <t>全费用综合单价限价（元）</t>
  </si>
  <si>
    <t>全费用投标综合单价（元）</t>
  </si>
  <si>
    <t>投标总价
（元）</t>
  </si>
  <si>
    <t>增值税
税率%</t>
  </si>
  <si>
    <t>税金
（元）</t>
  </si>
  <si>
    <t>水泥</t>
  </si>
  <si>
    <t>标准稠度用水量、凝结时间、安定性(沸煮法)、胶砂强度 、比表面积、氯离子含量</t>
  </si>
  <si>
    <t>按同一生产厂家、同一等级、同一品种、同一批号且连续进场的水泥，袋装水泥不超过200t为一批；散装水泥不超过500t为一批</t>
  </si>
  <si>
    <t>组</t>
  </si>
  <si>
    <t>砂</t>
  </si>
  <si>
    <t>筛分析（颗粒级配）、表观密度、堆积密度、含泥量、泥块含量、有机物含量、氯离子含量</t>
  </si>
  <si>
    <t>用大型工具(如火车、货船或汽车)运输的，以400m3或600t为一批</t>
  </si>
  <si>
    <t>石</t>
  </si>
  <si>
    <t>筛分析（颗粒级配）、表观密度、堆积密度、紧密密度、含泥量、泥块含量、针片状颗粒含量、压碎值</t>
  </si>
  <si>
    <t>掺合料</t>
  </si>
  <si>
    <t>细度、需水量、烧失量、含水量、三氧化硫含量、游离氧化钙含量、安定性</t>
  </si>
  <si>
    <t>同等级、同种类≤200t为一验收批(连续供应)</t>
  </si>
  <si>
    <t>混凝土膨胀剂</t>
  </si>
  <si>
    <t>凝结时间、限制膨胀率(水中7天、空气中21天)、抗压强度、细度、含水率</t>
  </si>
  <si>
    <t>不大于200t为一批，</t>
  </si>
  <si>
    <t>外加剂</t>
  </si>
  <si>
    <t>减水率、泌水率、含气量、凝结时间差、1h坍落度经时变化、1h含气量经时变化、抗压强度比</t>
  </si>
  <si>
    <t>掺量≥1%时，100t为一验收批，掺量＜1%时，50t为一验收批</t>
  </si>
  <si>
    <t>混凝土</t>
  </si>
  <si>
    <t>配合比验证</t>
  </si>
  <si>
    <t>同一配合比验证一次</t>
  </si>
  <si>
    <t>抗压强度</t>
  </si>
  <si>
    <t>1）每拌制100盘且不超过100m3的同配合比的混凝土，取样次数不得少于一次；
2）每工作班拌制的同配合比的混凝土不足100盘时，其取样次数仍不得少于一次；
3）当一次连续浇筑超过1000m³时，同一配合比的混凝土每200m³取样不得少于一次；
4）每一楼层、同一配合比的混凝土，取样不得少于一次；</t>
  </si>
  <si>
    <t>抗折强度</t>
  </si>
  <si>
    <t>每拌制100盘不超过100m3的同配合比的混凝土，其取样不得少于一组</t>
  </si>
  <si>
    <t>抗渗</t>
  </si>
  <si>
    <t>混凝土试件应在浇筑地点随机取样，连续浇筑混凝土每500m3应留置一组（6块）抗渗试块，且每项工程不得小于二组；</t>
  </si>
  <si>
    <t>硬化混凝土氯离子</t>
  </si>
  <si>
    <t>同一配合比、或需要验证时</t>
  </si>
  <si>
    <t>拌合物氯离子</t>
  </si>
  <si>
    <t>同一等级每种配比至少送检一组。</t>
  </si>
  <si>
    <t>不锈钢管</t>
  </si>
  <si>
    <t>外观、尺寸、拉伸、压扁、镀锌层均匀性、镀锌层厚度或重量</t>
  </si>
  <si>
    <t>按同一牌号、同一炉罐号、同一尺寸的钢管组成，不超过60t为一批</t>
  </si>
  <si>
    <t>砂浆</t>
  </si>
  <si>
    <t>每一检验批且不超过250m3砌体的各种类、各强度等级的砌筑砂浆，每台搅拌机应至少抽查一次，每次至少应制作一组试块</t>
  </si>
  <si>
    <t>热轧带肋钢筋</t>
  </si>
  <si>
    <t>拉伸、弯曲、最大力伸长率、强屈比、超屈比、重量偏差、反向弯曲</t>
  </si>
  <si>
    <t>按批检验每批重量不大于60t；不足60t按一批计。</t>
  </si>
  <si>
    <t>热轧光圆钢筋</t>
  </si>
  <si>
    <t>拉伸、弯曲、重量偏差</t>
  </si>
  <si>
    <t>钢筋焊接</t>
  </si>
  <si>
    <t>抗拉强度、伸长率</t>
  </si>
  <si>
    <t>同一台班内，由同一焊工完成的300个同牌号、同直径钢筋焊接接头应作为一批。当同一台班内焊接的接头数量较少，可在一周之内累计计算，累计仍不足300个接头时，应按一批计算</t>
  </si>
  <si>
    <t>钢筋机械连接</t>
  </si>
  <si>
    <t>拉伸强度</t>
  </si>
  <si>
    <t>同一施工条件下采用同一批材料的同等级、型式、规格的接头以500个为一批不足500的按一个验收批计。</t>
  </si>
  <si>
    <t>残余变形</t>
  </si>
  <si>
    <t>每个规格机械连接送检一组。</t>
  </si>
  <si>
    <t>钢材型材</t>
  </si>
  <si>
    <t>屈服强度、抗拉强度、断后伸长率、弯曲</t>
  </si>
  <si>
    <t>按同一牌号、同一炉罐号、同一尺寸的钢材组成，不超过60t为一批</t>
  </si>
  <si>
    <t>镀锌层</t>
  </si>
  <si>
    <t>按进场批次取样,每批取样一组。</t>
  </si>
  <si>
    <t>钢管</t>
  </si>
  <si>
    <t>硅钙板</t>
  </si>
  <si>
    <t>密度、抗折强度、湿胀率</t>
  </si>
  <si>
    <t>同类别，同规格，同强度的产品组成，每检验批为3000张为一批次，不足3000张，但大于200张也可以为一批</t>
  </si>
  <si>
    <t>蒸压加气混凝土板</t>
  </si>
  <si>
    <t>抗压强度、干密度、结构性能</t>
  </si>
  <si>
    <t>同规格、同等级1万块一批</t>
  </si>
  <si>
    <t>蒸压加气混凝土砌块</t>
  </si>
  <si>
    <t>干密度、抗压强度</t>
  </si>
  <si>
    <t>同品种、同规格、同等级的砌块以3万块为一批，不足3万块亦为一批</t>
  </si>
  <si>
    <t>灰砂砖、实心砖</t>
  </si>
  <si>
    <t>抗压强度、干密度</t>
  </si>
  <si>
    <t>每10万块为一批，不足10 万块按一批计。</t>
  </si>
  <si>
    <t>聚氨酯防水涂料</t>
  </si>
  <si>
    <t>拉伸性能,干燥时间,固体含量,不透水性,粘结强度,撕裂强度,外观</t>
  </si>
  <si>
    <t>每10t为一批，不足10t按一批抽样</t>
  </si>
  <si>
    <t>聚合物水泥防水涂料</t>
  </si>
  <si>
    <t>拉伸性能(无处理),固体含量,低温柔性,不透水性,粘结强度（无处理）,外观</t>
  </si>
  <si>
    <t>防水卷材</t>
  </si>
  <si>
    <t>厚度、不透水性、耐热性、拉伸性能（横纵向）、断裂延伸率</t>
  </si>
  <si>
    <t>同一类型、同一规格10000m2为一批不足10000m2时亦可作为一批</t>
  </si>
  <si>
    <t>砌筑砂浆、地面砂浆</t>
  </si>
  <si>
    <t>抗压强度、凝结时间、保水性、2h稠度损失率</t>
  </si>
  <si>
    <t>同一厂家、等级、品种、批号，500t为取一批取一次，不足500t按一批。</t>
  </si>
  <si>
    <t>抹灰砂浆</t>
  </si>
  <si>
    <t>抗压强度、凝结时间、保水性、2h稠度损失率、粘结强度</t>
  </si>
  <si>
    <t>防水砂浆</t>
  </si>
  <si>
    <t>抗压强度、凝结时间、保水性、2h稠度损失率、粘结强度、抗渗压力</t>
  </si>
  <si>
    <t>铝型材</t>
  </si>
  <si>
    <t>韦氏硬度、膜厚、壁厚</t>
  </si>
  <si>
    <t>型材应由同一合金号，供货状态，规格的型材组成，批重不限</t>
  </si>
  <si>
    <t>铝单板</t>
  </si>
  <si>
    <t>尺寸、涂层厚度、硬度、抗拉强度、伸长率</t>
  </si>
  <si>
    <t>每批应由同一品种、同一颜色、同一生产批次的铝单板组成，每3000㎡为一个检验批，不足3000㎡按一个检验批计算</t>
  </si>
  <si>
    <t>陶瓷砖</t>
  </si>
  <si>
    <t>表面质量、破坏强度、断裂模数、吸水率</t>
  </si>
  <si>
    <t>陶瓷砖粘结剂</t>
  </si>
  <si>
    <t>拉伸粘结强度（未处理、浸水处理）</t>
  </si>
  <si>
    <t>连续生产，同一配料工艺条件制得的产品为一批。C类产品100t为一批，D类和R类产品10t为一批。不足上述数量时亦作为一批。</t>
  </si>
  <si>
    <t>石材</t>
  </si>
  <si>
    <t>弯曲强度、吸水率、体积密度</t>
  </si>
  <si>
    <t>建筑涂料</t>
  </si>
  <si>
    <t>耐碱性、耐洗刷性、涂膜外观、施工性、耐水性、附着力、容器中状态、拉伸性能、粘结强度</t>
  </si>
  <si>
    <t>腻子</t>
  </si>
  <si>
    <t>在容器中状态、施工性、干燥时间(表干) 、耐碱性、耐水性、粘结强度</t>
  </si>
  <si>
    <t>砂壁状涂料</t>
  </si>
  <si>
    <t>在容器中状态、施工性、低温稳定性、干燥时间、初期干燥抗裂性、耐水性、耐碱性、粘结强度、涂膜外观</t>
  </si>
  <si>
    <t>地坪漆（底涂、中涂）</t>
  </si>
  <si>
    <t>容器中状态、干燥时间、耐碱性</t>
  </si>
  <si>
    <t>地坪漆（面涂）</t>
  </si>
  <si>
    <t>容器中状态、漆膜外观、干燥时间、耐水性、耐碱性、耐酸性</t>
  </si>
  <si>
    <t>水泥基渗透结晶型防水涂料</t>
  </si>
  <si>
    <t>含水率、细度、施工性、28d抗压强度、湿基面粘结强度、混凝土抗渗性能、混凝土抗渗性能(抗渗压力比-带涂层)、混凝土抗渗性能(抗渗压力比-去除涂层)</t>
  </si>
  <si>
    <t>50t为一批</t>
  </si>
  <si>
    <t>防腐涂料</t>
  </si>
  <si>
    <t>容器中状态、漆膜外观、干燥时间(表、实干)、附着力、耐弯曲性、耐冲击性、耐水性、施工性</t>
  </si>
  <si>
    <t>超薄型防火涂料</t>
  </si>
  <si>
    <t>容器中状态、干燥时间、粘结强度、耐水性</t>
  </si>
  <si>
    <t>厚型防火涂料</t>
  </si>
  <si>
    <t>容器中状态、干燥时间、粘结强度、耐水性、抗压强度</t>
  </si>
  <si>
    <t>涂料</t>
  </si>
  <si>
    <t>相容性</t>
  </si>
  <si>
    <t>根据设计要求，每种配套检测一组。</t>
  </si>
  <si>
    <t>龙骨</t>
  </si>
  <si>
    <t>外观质量、尺寸、镀锌层厚度、涂层铅笔硬度、</t>
  </si>
  <si>
    <t>班产量大于或等于2000m者，以2000m同型号，同规格的轻钢龙骨为一批，班产量小于2000m,以实际产量为一批。</t>
  </si>
  <si>
    <t>石膏板</t>
  </si>
  <si>
    <t>单位面积质量、含水率、受潮挠度</t>
  </si>
  <si>
    <t>同一类型，同一规格3000块板材按一批计。</t>
  </si>
  <si>
    <t>干挂石材胶</t>
  </si>
  <si>
    <t>适用期、拉剪强度（不锈钢-不锈钢）、压剪强度（石材-不锈钢）</t>
  </si>
  <si>
    <t>镀锌电焊网</t>
  </si>
  <si>
    <t>硫酸铜试验、焊点抗拉力</t>
  </si>
  <si>
    <t>按建筑面积，2000m2及以下，1组；2000-20000m2，3组；20000m2以上，6组。</t>
  </si>
  <si>
    <t>装饰装修材料（陶瓷砖、石材）</t>
  </si>
  <si>
    <t>放射性</t>
  </si>
  <si>
    <t>焊接工艺评定（不含加工）</t>
  </si>
  <si>
    <t>拉伸、弯曲、冲击</t>
  </si>
  <si>
    <t>焊接材料（不含加工）</t>
  </si>
  <si>
    <t>拉伸、冲击、化学成分分析（8个元素）</t>
  </si>
  <si>
    <t>路面砖</t>
  </si>
  <si>
    <t>抗压（抗折）强度、吸水率</t>
  </si>
  <si>
    <t>同一型号、规格、等级10000件为一批。</t>
  </si>
  <si>
    <t>路缘石</t>
  </si>
  <si>
    <t>抗压强度、抗折强度、吸水率</t>
  </si>
  <si>
    <t>同一型号、规格、等级20000件为一批。</t>
  </si>
  <si>
    <t>普通螺栓</t>
  </si>
  <si>
    <t>实物拉伸试验</t>
  </si>
  <si>
    <t>钢结构用高强度螺栓及连接副</t>
  </si>
  <si>
    <t>扭矩系数、楔负载、实物拉力荷载、屈服强度、抗拉强度、伸长率、硬度（螺栓、螺母、垫圈）</t>
  </si>
  <si>
    <t>同一性能等级、材料、炉号、螺纹规格、长度、机械加工、热处理工艺、表面处理工艺的螺栓为同批</t>
  </si>
  <si>
    <t>钢绞线</t>
  </si>
  <si>
    <t>抗拉强度、弹性模量</t>
  </si>
  <si>
    <t>锚具、夹片</t>
  </si>
  <si>
    <t>硬度</t>
  </si>
  <si>
    <t>按材料用量的3%抽检且不应少于6件。</t>
  </si>
  <si>
    <t>个</t>
  </si>
  <si>
    <t>锚固性能组合件</t>
  </si>
  <si>
    <t>静载锚固性能</t>
  </si>
  <si>
    <t>每种规格取样一组。</t>
  </si>
  <si>
    <t>孔</t>
  </si>
  <si>
    <t>钢管脚手架构件</t>
  </si>
  <si>
    <t>抗滑、抗破坏、扭转刚度、扭力矩试压</t>
  </si>
  <si>
    <t>在批量范围281-500随机抽取直角扣件16件，旋转、对接扣件、底座各8件为一组；在批量范围501-1200随机抽取直角扣件26件，旋转、对接扣件、底座各13件为一组；在批量范围1201-10000随机抽取直角扣件40件，旋转、对接扣件、底座各20件为一组。</t>
  </si>
  <si>
    <t>套</t>
  </si>
  <si>
    <t>抗滑、抗破坏、扭力矩试压</t>
  </si>
  <si>
    <t>抗拉、扭力矩试压</t>
  </si>
  <si>
    <t>抗压</t>
  </si>
  <si>
    <t>承插型盘扣式钢管脚手架</t>
  </si>
  <si>
    <t>单侧抗剪强度、双侧抗剪强度、抗弯强度、抗拉强度</t>
  </si>
  <si>
    <t>安全网</t>
  </si>
  <si>
    <t>尺寸、网目密度、抗冲击性、抗贯穿性、阻燃性</t>
  </si>
  <si>
    <t>按照进场的同一生产厂家、同一规格型号、同一批次的安全网，取3张。</t>
  </si>
  <si>
    <t>安全带</t>
  </si>
  <si>
    <t>整体静态负荷、整体动态负荷</t>
  </si>
  <si>
    <t>坠落悬挂安全带（整体静态负荷、整体动态负荷）：取4条</t>
  </si>
  <si>
    <t>安全帽</t>
  </si>
  <si>
    <t>佩戴高度、垂直间距、下鄂带强度、冲击吸收性能、耐穿刺性能</t>
  </si>
  <si>
    <t>耐穿刺性能、冲击吸收性能各有四种预处理方式[高温（50℃）处理、低温（-10℃）处理、浸水（20℃）处理、辐射处理]。进货检验：批量＜500顶时取1顶、项，批量500-5000时取2顶、项，批量5001-50000时取3顶、项，批量≥50001顶时取4顶、项。</t>
  </si>
  <si>
    <t>砂浆配合比</t>
  </si>
  <si>
    <t>无机耐磨地坪材料</t>
  </si>
  <si>
    <t>抗折强度、抗压强度、耐磨</t>
  </si>
  <si>
    <t>同类型产品50t为一批，不足50t按一批计。</t>
  </si>
  <si>
    <t>钢筋锚固板</t>
  </si>
  <si>
    <t>抗拉强度</t>
  </si>
  <si>
    <t>每组代表批量：同一施工条件下采用同一批材料的同类型、同规格的钢筋锚固板，螺纹连接锚固板应以500个为一个验收批进行检验和验收，不足500个也应作为一个验收批；焊接连接锚固板应以300个为一个验收批进行检验和验收，不足300个也应作为一个验收批。</t>
  </si>
  <si>
    <t>灌浆料</t>
  </si>
  <si>
    <t>凝结时间、可操作时间、流动度、泌水率、竖向膨胀率、抗压强度</t>
  </si>
  <si>
    <t>在15d内生产的同配方、同批号原材料的产品应以50t作为一生产批号，不足50t也应作为 一生产批号。</t>
  </si>
  <si>
    <t>钢材元素分析</t>
  </si>
  <si>
    <t>化学五元素</t>
  </si>
  <si>
    <t>每组代表批量：碳素结构钢、低合金高强度结构钢、建筑结构用钢板、桥梁用结构钢每批由同一牌号、同一炉号、同一质量等级、同一品种、同一尺寸、同一交货状态的钢材组成，每批重量应不大于60t</t>
  </si>
  <si>
    <t>标线涂料</t>
  </si>
  <si>
    <t>抗压强度、不粘胎时间、色度性能、密度、耐水性、耐碱性、耐磨性</t>
  </si>
  <si>
    <t>每批次进场检验一次</t>
  </si>
  <si>
    <t>植筋胶</t>
  </si>
  <si>
    <t>劈裂抗拉强度、抗弯强度、抗压强度、与混凝土正拉粘结强度</t>
  </si>
  <si>
    <t>非固化橡胶沥青防水涂料</t>
  </si>
  <si>
    <t>固体含量,外观,延伸性,粘结性能</t>
  </si>
  <si>
    <t>同一类型10t为一批，不足10t也作为一批</t>
  </si>
  <si>
    <t>球墨铸铁管</t>
  </si>
  <si>
    <t>按规格批次抽
带标识管段20cm+1个5cm正方形铁块表面磨掉黑漆</t>
  </si>
  <si>
    <t>衬塑复合压力管</t>
  </si>
  <si>
    <r>
      <rPr>
        <sz val="10"/>
        <rFont val="宋体"/>
        <charset val="134"/>
      </rPr>
      <t>外观、尺寸、结合强度、弯曲性能（</t>
    </r>
    <r>
      <rPr>
        <sz val="10"/>
        <rFont val="Times New Roman"/>
        <charset val="134"/>
      </rPr>
      <t>DN≤50mm</t>
    </r>
    <r>
      <rPr>
        <sz val="10"/>
        <rFont val="宋体"/>
        <charset val="134"/>
      </rPr>
      <t>）或压扁性能（</t>
    </r>
    <r>
      <rPr>
        <sz val="10"/>
        <rFont val="Times New Roman"/>
        <charset val="134"/>
      </rPr>
      <t>DN</t>
    </r>
    <r>
      <rPr>
        <sz val="10"/>
        <rFont val="宋体"/>
        <charset val="134"/>
      </rPr>
      <t>＞</t>
    </r>
    <r>
      <rPr>
        <sz val="10"/>
        <rFont val="Times New Roman"/>
        <charset val="134"/>
      </rPr>
      <t>50mm</t>
    </r>
    <r>
      <rPr>
        <sz val="10"/>
        <rFont val="宋体"/>
        <charset val="134"/>
      </rPr>
      <t>）、耐冷热循环</t>
    </r>
  </si>
  <si>
    <t>按规格批次抽
1×1m+3×20mm</t>
  </si>
  <si>
    <t>钢塑复合压力管用双热熔管件</t>
  </si>
  <si>
    <t>尺寸、短期静液压</t>
  </si>
  <si>
    <t>按规格批次抽4个，其中3个两端接200mm（公称外径＞75mm接300mm）配套管材</t>
  </si>
  <si>
    <t>给水用钢丝网增强聚乙烯复合管材</t>
  </si>
  <si>
    <t>外观、尺寸、静液压试验、爆破试验、受开压稳定性</t>
  </si>
  <si>
    <t>按规格批次抽
4×1m</t>
  </si>
  <si>
    <r>
      <rPr>
        <sz val="10"/>
        <rFont val="Times New Roman"/>
        <charset val="134"/>
      </rPr>
      <t>PP-R</t>
    </r>
    <r>
      <rPr>
        <sz val="10"/>
        <rFont val="宋体"/>
        <charset val="134"/>
      </rPr>
      <t>给水管材</t>
    </r>
  </si>
  <si>
    <t>外观、尺寸、纵向回缩率、静液压试验、简支梁冲击试验</t>
  </si>
  <si>
    <r>
      <rPr>
        <sz val="10"/>
        <rFont val="Times New Roman"/>
        <charset val="134"/>
      </rPr>
      <t>PP-R</t>
    </r>
    <r>
      <rPr>
        <sz val="10"/>
        <rFont val="宋体"/>
        <charset val="134"/>
      </rPr>
      <t>给水管件</t>
    </r>
  </si>
  <si>
    <t>外观、尺寸、液压试验</t>
  </si>
  <si>
    <t>按规格批次抽
9个</t>
  </si>
  <si>
    <r>
      <rPr>
        <sz val="10"/>
        <rFont val="Times New Roman"/>
        <charset val="134"/>
      </rPr>
      <t>PE</t>
    </r>
    <r>
      <rPr>
        <sz val="10"/>
        <rFont val="宋体"/>
        <charset val="134"/>
      </rPr>
      <t>给水管材</t>
    </r>
  </si>
  <si>
    <t>外观、尺寸、纵向回缩率、拉伸性能、静液压试验</t>
  </si>
  <si>
    <r>
      <rPr>
        <sz val="10"/>
        <rFont val="Times New Roman"/>
        <charset val="134"/>
      </rPr>
      <t>PE</t>
    </r>
    <r>
      <rPr>
        <sz val="10"/>
        <rFont val="宋体"/>
        <charset val="134"/>
      </rPr>
      <t>给水管件</t>
    </r>
  </si>
  <si>
    <t>外观、尺寸、静液压试验</t>
  </si>
  <si>
    <t>按规格批次抽4个（3个两端接300mm管材的管件+1个管件）</t>
  </si>
  <si>
    <t>金属阀门</t>
  </si>
  <si>
    <t>上密封试验、壳体试验、密封试验</t>
  </si>
  <si>
    <t>按规格批次抽
2个</t>
  </si>
  <si>
    <r>
      <rPr>
        <sz val="10"/>
        <rFont val="Times New Roman"/>
        <charset val="134"/>
      </rPr>
      <t>PVC-U</t>
    </r>
    <r>
      <rPr>
        <sz val="10"/>
        <rFont val="宋体"/>
        <charset val="134"/>
      </rPr>
      <t>排水管材</t>
    </r>
  </si>
  <si>
    <t>外观、密度、尺寸、纵向回缩率、维卡软化温度、拉伸性能、落锤冲击试验</t>
  </si>
  <si>
    <r>
      <rPr>
        <sz val="10"/>
        <rFont val="Times New Roman"/>
        <charset val="134"/>
      </rPr>
      <t>PVC-U</t>
    </r>
    <r>
      <rPr>
        <sz val="10"/>
        <rFont val="宋体"/>
        <charset val="134"/>
      </rPr>
      <t>排水管件</t>
    </r>
  </si>
  <si>
    <t>外观、密度、尺寸、烘箱试验、坠落试验、维卡软化温度</t>
  </si>
  <si>
    <r>
      <rPr>
        <sz val="10"/>
        <rFont val="Times New Roman"/>
        <charset val="134"/>
      </rPr>
      <t>PVC-U</t>
    </r>
    <r>
      <rPr>
        <sz val="10"/>
        <rFont val="宋体"/>
        <charset val="134"/>
      </rPr>
      <t>胶粘剂</t>
    </r>
  </si>
  <si>
    <t>外观、溶解性、粘度、粘结强度、水压爆破强度</t>
  </si>
  <si>
    <r>
      <rPr>
        <sz val="10"/>
        <color theme="1"/>
        <rFont val="宋体"/>
        <charset val="134"/>
      </rPr>
      <t>按规格批次抽</t>
    </r>
    <r>
      <rPr>
        <sz val="10"/>
        <color theme="1"/>
        <rFont val="Times New Roman"/>
        <charset val="134"/>
      </rPr>
      <t>500ml</t>
    </r>
  </si>
  <si>
    <r>
      <rPr>
        <sz val="10"/>
        <rFont val="宋体"/>
        <charset val="134"/>
      </rPr>
      <t>聚乙烯（</t>
    </r>
    <r>
      <rPr>
        <sz val="10"/>
        <rFont val="Times New Roman"/>
        <charset val="134"/>
      </rPr>
      <t>PE</t>
    </r>
    <r>
      <rPr>
        <sz val="10"/>
        <rFont val="宋体"/>
        <charset val="134"/>
      </rPr>
      <t>）双壁波纹管</t>
    </r>
  </si>
  <si>
    <t>外观和尺寸、烘箱试验、纵向回缩率、环刚度、环柔性、落锤冲击试验</t>
  </si>
  <si>
    <t>按规格批次抽
3×300mm</t>
  </si>
  <si>
    <t>中空壁缠绕管</t>
  </si>
  <si>
    <t>外观和尺寸、纵向回缩率、落锤冲击冲击、环刚度、环柔性</t>
  </si>
  <si>
    <t>镀锌线管</t>
  </si>
  <si>
    <t>标志、弯曲试验、抗压性能、电气性能</t>
  </si>
  <si>
    <r>
      <rPr>
        <sz val="10"/>
        <rFont val="宋体"/>
        <charset val="134"/>
      </rPr>
      <t>按规格批次抽</t>
    </r>
    <r>
      <rPr>
        <sz val="10"/>
        <rFont val="Times New Roman"/>
        <charset val="134"/>
      </rPr>
      <t xml:space="preserve">
9×1.0m</t>
    </r>
    <r>
      <rPr>
        <sz val="10"/>
        <rFont val="宋体"/>
        <charset val="134"/>
      </rPr>
      <t>（注明轻</t>
    </r>
    <r>
      <rPr>
        <sz val="10"/>
        <rFont val="Times New Roman"/>
        <charset val="134"/>
      </rPr>
      <t>.</t>
    </r>
    <r>
      <rPr>
        <sz val="10"/>
        <rFont val="宋体"/>
        <charset val="134"/>
      </rPr>
      <t>中</t>
    </r>
    <r>
      <rPr>
        <sz val="10"/>
        <rFont val="Times New Roman"/>
        <charset val="134"/>
      </rPr>
      <t>.</t>
    </r>
    <r>
      <rPr>
        <sz val="10"/>
        <rFont val="宋体"/>
        <charset val="134"/>
      </rPr>
      <t>重）</t>
    </r>
  </si>
  <si>
    <t>电缆桥架</t>
  </si>
  <si>
    <t>外观、尺寸、承受安全工作荷载时的相对挠度、耐撞击能力、保护电路连续性、防护层厚度、防护层附着力、表面电阻率、体积电阻率</t>
  </si>
  <si>
    <r>
      <rPr>
        <sz val="10"/>
        <rFont val="宋体"/>
        <charset val="134"/>
      </rPr>
      <t>按规格批次抽</t>
    </r>
    <r>
      <rPr>
        <sz val="10"/>
        <rFont val="Times New Roman"/>
        <charset val="134"/>
      </rPr>
      <t xml:space="preserve">
</t>
    </r>
    <r>
      <rPr>
        <sz val="10"/>
        <rFont val="宋体"/>
        <charset val="134"/>
      </rPr>
      <t>一根</t>
    </r>
    <r>
      <rPr>
        <sz val="10"/>
        <rFont val="Times New Roman"/>
        <charset val="134"/>
      </rPr>
      <t>2.5</t>
    </r>
    <r>
      <rPr>
        <sz val="10"/>
        <rFont val="宋体"/>
        <charset val="134"/>
      </rPr>
      <t>米（样品规格小于</t>
    </r>
    <r>
      <rPr>
        <sz val="10"/>
        <rFont val="Times New Roman"/>
        <charset val="134"/>
      </rPr>
      <t>2.5</t>
    </r>
    <r>
      <rPr>
        <sz val="10"/>
        <rFont val="宋体"/>
        <charset val="134"/>
      </rPr>
      <t>米时，按样品全长送检一根）＋</t>
    </r>
    <r>
      <rPr>
        <sz val="10"/>
        <rFont val="Times New Roman"/>
        <charset val="134"/>
      </rPr>
      <t>2</t>
    </r>
    <r>
      <rPr>
        <sz val="10"/>
        <rFont val="宋体"/>
        <charset val="134"/>
      </rPr>
      <t>根</t>
    </r>
    <r>
      <rPr>
        <sz val="10"/>
        <rFont val="Times New Roman"/>
        <charset val="134"/>
      </rPr>
      <t>1.2</t>
    </r>
    <r>
      <rPr>
        <sz val="10"/>
        <rFont val="宋体"/>
        <charset val="134"/>
      </rPr>
      <t>米中间用连接件接起；</t>
    </r>
  </si>
  <si>
    <t>配电箱</t>
  </si>
  <si>
    <t>外观、电击防护、保护电路的完整性、内装元件的组合、内部电路和连接、外接导线端子、电气间隙和爬电距离、工频耐受电压</t>
  </si>
  <si>
    <t>按规格批次抽
1个
（需提供说明书、线路图）</t>
  </si>
  <si>
    <t>MPP实壁管</t>
  </si>
  <si>
    <t>外观、尺寸、拉伸强度、落锤冲击试验、压扁试验、环刚度</t>
  </si>
  <si>
    <t>电工套管</t>
  </si>
  <si>
    <t>外观、尺寸、抗压性能、弯曲性能、弯扁性能、冲击性能、跌落性能、耐热性能、氧指数、自熄时间、电气性能</t>
  </si>
  <si>
    <t>按规格批次抽
13×1.2m</t>
  </si>
  <si>
    <t>电工套管配件</t>
  </si>
  <si>
    <t>外观、跌落性能、耐热性能、氧指数、自熄时间、电气性能</t>
  </si>
  <si>
    <r>
      <rPr>
        <sz val="10"/>
        <rFont val="宋体"/>
        <charset val="134"/>
      </rPr>
      <t>按规格批次抽</t>
    </r>
    <r>
      <rPr>
        <sz val="10"/>
        <rFont val="Times New Roman"/>
        <charset val="134"/>
      </rPr>
      <t xml:space="preserve">
9</t>
    </r>
    <r>
      <rPr>
        <sz val="10"/>
        <rFont val="宋体"/>
        <charset val="134"/>
      </rPr>
      <t>个</t>
    </r>
  </si>
  <si>
    <t>PE地下通信用实壁管</t>
  </si>
  <si>
    <t>外观、尺寸、落锤冲击、扁平试验、环刚度、拉伸强度、纵向回缩率</t>
  </si>
  <si>
    <t>通信电缆（网线）</t>
  </si>
  <si>
    <t>近端串音功率和、远端串音功率和、回波损耗、护套老化前拉力试验</t>
  </si>
  <si>
    <t>按规格批次抽100米</t>
  </si>
  <si>
    <t>电线电缆</t>
  </si>
  <si>
    <t>标志、结构尺寸（按每一芯线芯算）、导体电阻（按每一芯线芯算）、绝缘电阻（按每一芯线芯算）、电压试验（按每一芯线芯算）、绝缘老化前拉力试验、护套老化前拉力试验</t>
  </si>
  <si>
    <t>按规格批次：小截面积（≤10mm2）抽20米；大截面积（＞10mm2）抽15米；导体截面积大于50mm2，抽3m。</t>
  </si>
  <si>
    <t>漏电断路器</t>
  </si>
  <si>
    <t>标志检查、电击保护、电气间隙、爬电距离、试验装置动作特性、剩余电流动作特性、时间-电流动作特性、温升、耐潮、绝缘电阻、介电强度、耐热试验、灼热丝试验</t>
  </si>
  <si>
    <t>按规格批次
抽3个</t>
  </si>
  <si>
    <t>小型断路器</t>
  </si>
  <si>
    <t>标志检查、电击保护、电气间隙、爬电距离、时间-电流动作特性、温升、耐潮、绝缘电阻、介电强度、耐热试验、灼热丝试验</t>
  </si>
  <si>
    <t>塑壳断路器</t>
  </si>
  <si>
    <t>标志检查、电气间隙、爬电距离、验证过载脱扣器、反时限脱扣试验、瞬时脱扣试验、温升、介电性能</t>
  </si>
  <si>
    <t>按规格批次
抽3个（需提供说明书）</t>
  </si>
  <si>
    <t>面板开关</t>
  </si>
  <si>
    <t>标志检查、防触电保护、温升、电气间隙、爬电距离、耐潮、电气强度、绝缘电阻、通断能力、耐热试验、灼热丝试验</t>
  </si>
  <si>
    <r>
      <rPr>
        <sz val="10"/>
        <rFont val="宋体"/>
        <charset val="134"/>
      </rPr>
      <t>按规格批次抽</t>
    </r>
    <r>
      <rPr>
        <sz val="10"/>
        <rFont val="Times New Roman"/>
        <charset val="134"/>
      </rPr>
      <t xml:space="preserve">
6</t>
    </r>
    <r>
      <rPr>
        <sz val="10"/>
        <rFont val="宋体"/>
        <charset val="134"/>
      </rPr>
      <t>个</t>
    </r>
  </si>
  <si>
    <t>插头插座/带开关插座</t>
  </si>
  <si>
    <t>标志检查、防触电保护、接地措施、温升、电气间隙、爬电距离、耐潮、电气强度、绝缘电阻、分断容量、耐热试验、灼热丝试验</t>
  </si>
  <si>
    <t>短纤针刺非织造土工布</t>
  </si>
  <si>
    <t>单位面积质量偏差率、厚度偏差率、幅宽偏差率、纵横向撕破强力、顶破强力、垂直渗透系数、纵横向断裂强度、标称断裂强度对应伸长率、等效孔径、刺破强力</t>
  </si>
  <si>
    <t>等幅宽3m长</t>
  </si>
  <si>
    <t>玻璃纤维土工格栅</t>
  </si>
  <si>
    <t>断裂强力（纵、横向）、断裂伸长率（纵、横向）、网眼目数、网眼尺寸</t>
  </si>
  <si>
    <t>2m×2m</t>
  </si>
  <si>
    <t>聚乙烯土工膜</t>
  </si>
  <si>
    <t>拉伸断裂强度、拉伸屈服强度、断裂伸长率、屈服伸长率、直角撕裂负荷、抗穿刺强力、厚度</t>
  </si>
  <si>
    <t>整幅宽,
0.5m长</t>
  </si>
  <si>
    <t>塑料排水板</t>
  </si>
  <si>
    <t>宽度、厚度、塑料排水板抗拉强度、滤膜抗拉强度（干拉、湿拉）、滤膜渗透系数、纵向通水量</t>
  </si>
  <si>
    <t>4m</t>
  </si>
  <si>
    <t>耐碱玻璃纤
维网布</t>
  </si>
  <si>
    <t>单位面积质量、断裂强力/拉伸断裂强力/耐碱断裂强力、断裂伸长率、耐碱强力保留率、耐碱性</t>
  </si>
  <si>
    <t>等幅宽2米</t>
  </si>
  <si>
    <t>实木地板/
实木复合地板</t>
  </si>
  <si>
    <t>外观质量、尺寸、含水率、漆膜表面附着力、漆膜硬度、表面耐污染、静曲强度、弹性模量</t>
  </si>
  <si>
    <t>10块</t>
  </si>
  <si>
    <t>防静电活动地板</t>
  </si>
  <si>
    <t>外观、尺寸偏差、对地电阻</t>
  </si>
  <si>
    <t>2块地板、1套支撑</t>
  </si>
  <si>
    <t>地坪涂料</t>
  </si>
  <si>
    <t>VOC；游离甲醛；苯；甲苯、乙苯、二甲苯总和；苯、甲苯、乙苯、二甲苯总和；游离二异氰酸酯（TDI、HDI）；乙二醇醚及醚酯总和；邻苯二甲酸酯；游离4,4'-二氨基二苯甲烷（MDA）；可溶性铅；可溶性镉；可溶性铬；可溶性汞；TVOC释放量；甲醛释放量</t>
  </si>
  <si>
    <t>取样量2.0kg</t>
  </si>
  <si>
    <t>PVC地板</t>
  </si>
  <si>
    <t>挥发物含量、可溶性铅、可溶性镉</t>
  </si>
  <si>
    <t>每批产品中抽取1卷样品，去掉样品卷最外3层后裁取1m</t>
  </si>
  <si>
    <t>地毯、地毯衬垫</t>
  </si>
  <si>
    <t>VOC、游离甲醛</t>
  </si>
  <si>
    <t>送样量1m2</t>
  </si>
  <si>
    <t>高分子装饰材料</t>
  </si>
  <si>
    <t>甲醛释放量（环境舱法）、TVOC释放量</t>
  </si>
  <si>
    <t>500mm×500mm，4块</t>
  </si>
  <si>
    <t>木家具</t>
  </si>
  <si>
    <t>甲醛释放量(干燥器法)、可溶性重金属（汞）、可溶性重金属（铅）、可溶性重金属（铬）、可溶性重金属（镉）</t>
  </si>
  <si>
    <t>送样量20块（15cm×5cm，需使用石蜡或者塑料薄膜封边）</t>
  </si>
  <si>
    <t>建筑用墙面涂料</t>
  </si>
  <si>
    <t>游离甲醛、苯系物总和含量（苯、甲苯、二甲苯、乙苯）、总铅含量、可溶性镉含量、可溶性铬含量、可溶性汞含量、VOC含量、乙二醇醚及醚酯总和含量、卤代烃总和含量</t>
  </si>
  <si>
    <t>送样量0.5kg；
同批次产品检验报告的检测项目不全或检测结果不符合设计要求和规范要求时需复验</t>
  </si>
  <si>
    <t>建筑材料（墙砖）</t>
  </si>
  <si>
    <t>送样量4kg；
使用面积大于200m2时，需对不同产品、不同批次进行复验</t>
  </si>
  <si>
    <t>木板</t>
  </si>
  <si>
    <t>甲醛释放量（环境舱法）</t>
  </si>
  <si>
    <t>送样量1m2（500mm×500mm，2块）</t>
  </si>
  <si>
    <t>胶粘剂</t>
  </si>
  <si>
    <t>游离甲醛、VOC、苯、甲苯+二甲苯、甲苯二异氰酸酯、二氯甲烷、1,2-二氯乙烷、1,1,2-三氯乙烷、三氯乙烯</t>
  </si>
  <si>
    <t>生活饮用水</t>
  </si>
  <si>
    <t>浑浊度、色度、臭和味、肉眼可见物、游离氯、细菌总数、总大肠菌群、pH、铁等</t>
  </si>
  <si>
    <r>
      <rPr>
        <sz val="10"/>
        <rFont val="宋体"/>
        <charset val="134"/>
      </rPr>
      <t>理化指标：不少于</t>
    </r>
    <r>
      <rPr>
        <sz val="10"/>
        <rFont val="Times New Roman"/>
        <charset val="134"/>
      </rPr>
      <t xml:space="preserve">1L
</t>
    </r>
    <r>
      <rPr>
        <sz val="10"/>
        <rFont val="宋体"/>
        <charset val="134"/>
      </rPr>
      <t>微生物指标：</t>
    </r>
    <r>
      <rPr>
        <sz val="10"/>
        <rFont val="Times New Roman"/>
        <charset val="134"/>
      </rPr>
      <t>0.5L</t>
    </r>
  </si>
  <si>
    <t>回填材料</t>
  </si>
  <si>
    <t>击实试验</t>
  </si>
  <si>
    <t>每种回填材料抽检1组</t>
  </si>
  <si>
    <t>井盖</t>
  </si>
  <si>
    <t>承载能力、残余变形、安全和便利性</t>
  </si>
  <si>
    <t>每种类型每100个抽检1组。</t>
  </si>
  <si>
    <t>304及316不锈钢给水管道（饮用水级别）</t>
  </si>
  <si>
    <t>外观，壁厚，化学成分及机械性能</t>
  </si>
  <si>
    <t>抽检为5%~10%</t>
  </si>
  <si>
    <t>合计</t>
  </si>
  <si>
    <t>地基基础及基坑支护检测投标报价工程量清单</t>
  </si>
  <si>
    <t>检测对象</t>
  </si>
  <si>
    <t>地基基础</t>
  </si>
  <si>
    <t>管桩基础</t>
  </si>
  <si>
    <t>低应变</t>
  </si>
  <si>
    <t>完整性</t>
  </si>
  <si>
    <r>
      <rPr>
        <sz val="10"/>
        <rFont val="宋体"/>
        <charset val="134"/>
      </rPr>
      <t>总桩数</t>
    </r>
    <r>
      <rPr>
        <sz val="10"/>
        <rFont val="Times New Roman"/>
        <charset val="134"/>
      </rPr>
      <t>30%</t>
    </r>
    <r>
      <rPr>
        <sz val="10"/>
        <rFont val="宋体"/>
        <charset val="134"/>
      </rPr>
      <t>，且不少于</t>
    </r>
    <r>
      <rPr>
        <sz val="10"/>
        <rFont val="Times New Roman"/>
        <charset val="134"/>
      </rPr>
      <t>10</t>
    </r>
    <r>
      <rPr>
        <sz val="10"/>
        <rFont val="宋体"/>
        <charset val="134"/>
      </rPr>
      <t>根，每个承台不少于</t>
    </r>
    <r>
      <rPr>
        <sz val="10"/>
        <rFont val="Times New Roman"/>
        <charset val="134"/>
      </rPr>
      <t>1</t>
    </r>
    <r>
      <rPr>
        <sz val="10"/>
        <rFont val="宋体"/>
        <charset val="134"/>
      </rPr>
      <t>根</t>
    </r>
  </si>
  <si>
    <t>根</t>
  </si>
  <si>
    <t>单桩竖向抗压静载试验</t>
  </si>
  <si>
    <t>承载力</t>
  </si>
  <si>
    <r>
      <rPr>
        <sz val="10"/>
        <rFont val="宋体"/>
        <charset val="134"/>
      </rPr>
      <t>各单位工程总桩数的</t>
    </r>
    <r>
      <rPr>
        <sz val="10"/>
        <rFont val="Times New Roman"/>
        <charset val="134"/>
      </rPr>
      <t>1%</t>
    </r>
    <r>
      <rPr>
        <sz val="10"/>
        <rFont val="宋体"/>
        <charset val="134"/>
      </rPr>
      <t>，且不少于</t>
    </r>
    <r>
      <rPr>
        <sz val="10"/>
        <rFont val="Times New Roman"/>
        <charset val="134"/>
      </rPr>
      <t>3</t>
    </r>
    <r>
      <rPr>
        <sz val="10"/>
        <rFont val="宋体"/>
        <charset val="134"/>
      </rPr>
      <t>根。</t>
    </r>
    <r>
      <rPr>
        <sz val="10"/>
        <rFont val="Times New Roman"/>
        <charset val="134"/>
      </rPr>
      <t>50</t>
    </r>
    <r>
      <rPr>
        <sz val="10"/>
        <rFont val="宋体"/>
        <charset val="134"/>
      </rPr>
      <t>根以内检测</t>
    </r>
    <r>
      <rPr>
        <sz val="10"/>
        <rFont val="Times New Roman"/>
        <charset val="134"/>
      </rPr>
      <t>2</t>
    </r>
    <r>
      <rPr>
        <sz val="10"/>
        <rFont val="宋体"/>
        <charset val="134"/>
      </rPr>
      <t>根</t>
    </r>
  </si>
  <si>
    <t>10kN</t>
  </si>
  <si>
    <t>单桩竖向抗拔静载试验</t>
  </si>
  <si>
    <t>试验桩</t>
  </si>
  <si>
    <r>
      <rPr>
        <sz val="10"/>
        <rFont val="宋体"/>
        <charset val="134"/>
      </rPr>
      <t>不少于</t>
    </r>
    <r>
      <rPr>
        <sz val="10"/>
        <rFont val="Times New Roman"/>
        <charset val="134"/>
      </rPr>
      <t>3</t>
    </r>
    <r>
      <rPr>
        <sz val="10"/>
        <rFont val="宋体"/>
        <charset val="134"/>
      </rPr>
      <t>根</t>
    </r>
  </si>
  <si>
    <t>灌注桩</t>
  </si>
  <si>
    <t>声波透射法</t>
  </si>
  <si>
    <t>钻芯法或声波透射法抽检，抽检数量不少于相应桩总数的 30%且不少于 20 根；其中，钻芯法抽检的数量不少于桩总数的5%</t>
  </si>
  <si>
    <t>管·米</t>
  </si>
  <si>
    <t>钻芯法</t>
  </si>
  <si>
    <t>米</t>
  </si>
  <si>
    <t>高应变法</t>
  </si>
  <si>
    <t>5%且不少于 5 根</t>
  </si>
  <si>
    <t>基坑支护检测</t>
  </si>
  <si>
    <t>立柱灌注桩</t>
  </si>
  <si>
    <r>
      <rPr>
        <sz val="10"/>
        <rFont val="宋体"/>
        <charset val="134"/>
      </rPr>
      <t>各单位工程总桩数的</t>
    </r>
    <r>
      <rPr>
        <sz val="10"/>
        <rFont val="Times New Roman"/>
        <charset val="134"/>
      </rPr>
      <t>20%</t>
    </r>
    <r>
      <rPr>
        <sz val="10"/>
        <rFont val="宋体"/>
        <charset val="134"/>
      </rPr>
      <t>，且不少于</t>
    </r>
    <r>
      <rPr>
        <sz val="10"/>
        <rFont val="Times New Roman"/>
        <charset val="134"/>
      </rPr>
      <t>10</t>
    </r>
    <r>
      <rPr>
        <sz val="10"/>
        <rFont val="宋体"/>
        <charset val="134"/>
      </rPr>
      <t>根。</t>
    </r>
  </si>
  <si>
    <t>三轴止水搅拌桩</t>
  </si>
  <si>
    <r>
      <rPr>
        <sz val="10"/>
        <rFont val="宋体"/>
        <charset val="134"/>
      </rPr>
      <t>不少于总桩数的</t>
    </r>
    <r>
      <rPr>
        <sz val="10"/>
        <rFont val="Times New Roman"/>
        <charset val="134"/>
      </rPr>
      <t>1%</t>
    </r>
    <r>
      <rPr>
        <sz val="10"/>
        <rFont val="宋体"/>
        <charset val="134"/>
      </rPr>
      <t>，且不得少于</t>
    </r>
    <r>
      <rPr>
        <sz val="10"/>
        <rFont val="Times New Roman"/>
        <charset val="134"/>
      </rPr>
      <t>6</t>
    </r>
    <r>
      <rPr>
        <sz val="10"/>
        <rFont val="宋体"/>
        <charset val="134"/>
      </rPr>
      <t>根</t>
    </r>
  </si>
  <si>
    <t>m</t>
  </si>
  <si>
    <t>支护锚杆</t>
  </si>
  <si>
    <t>支护锚杆抗拔验收试验</t>
  </si>
  <si>
    <r>
      <rPr>
        <sz val="10"/>
        <rFont val="宋体"/>
        <charset val="134"/>
      </rPr>
      <t>支护锚杆总数的</t>
    </r>
    <r>
      <rPr>
        <sz val="10"/>
        <rFont val="Times New Roman"/>
        <charset val="134"/>
      </rPr>
      <t>5%</t>
    </r>
    <r>
      <rPr>
        <sz val="10"/>
        <rFont val="宋体"/>
        <charset val="134"/>
      </rPr>
      <t>，且不少于</t>
    </r>
    <r>
      <rPr>
        <sz val="10"/>
        <rFont val="Times New Roman"/>
        <charset val="134"/>
      </rPr>
      <t>6</t>
    </r>
    <r>
      <rPr>
        <sz val="10"/>
        <rFont val="宋体"/>
        <charset val="134"/>
      </rPr>
      <t>根</t>
    </r>
  </si>
  <si>
    <t>锚杆锁定力测试</t>
  </si>
  <si>
    <t>锁定力</t>
  </si>
  <si>
    <t>土钉</t>
  </si>
  <si>
    <t>抗拔验收试验</t>
  </si>
  <si>
    <r>
      <rPr>
        <sz val="10"/>
        <rFont val="宋体"/>
        <charset val="134"/>
      </rPr>
      <t>总数</t>
    </r>
    <r>
      <rPr>
        <sz val="10"/>
        <rFont val="Times New Roman"/>
        <charset val="134"/>
      </rPr>
      <t>1%</t>
    </r>
    <r>
      <rPr>
        <sz val="10"/>
        <rFont val="宋体"/>
        <charset val="134"/>
      </rPr>
      <t>，同一土层不少于</t>
    </r>
    <r>
      <rPr>
        <sz val="10"/>
        <rFont val="Times New Roman"/>
        <charset val="134"/>
      </rPr>
      <t>10</t>
    </r>
    <r>
      <rPr>
        <sz val="10"/>
        <rFont val="宋体"/>
        <charset val="134"/>
      </rPr>
      <t>根</t>
    </r>
  </si>
  <si>
    <t>止水帷幕</t>
  </si>
  <si>
    <t>抽水试验</t>
  </si>
  <si>
    <t>止水效果</t>
  </si>
  <si>
    <r>
      <rPr>
        <sz val="10"/>
        <rFont val="宋体"/>
        <charset val="134"/>
      </rPr>
      <t>不少于</t>
    </r>
    <r>
      <rPr>
        <sz val="10"/>
        <rFont val="Times New Roman"/>
        <charset val="134"/>
      </rPr>
      <t>3</t>
    </r>
    <r>
      <rPr>
        <sz val="10"/>
        <rFont val="宋体"/>
        <charset val="134"/>
      </rPr>
      <t>点</t>
    </r>
  </si>
  <si>
    <t>点</t>
  </si>
  <si>
    <t>喷射混凝土</t>
  </si>
  <si>
    <t>钻孔法</t>
  </si>
  <si>
    <t>厚度检测</t>
  </si>
  <si>
    <r>
      <rPr>
        <sz val="10"/>
        <rFont val="宋体"/>
        <charset val="134"/>
      </rPr>
      <t>每</t>
    </r>
    <r>
      <rPr>
        <sz val="10"/>
        <rFont val="Times New Roman"/>
        <charset val="134"/>
      </rPr>
      <t>500</t>
    </r>
    <r>
      <rPr>
        <sz val="10"/>
        <rFont val="宋体"/>
        <charset val="134"/>
      </rPr>
      <t>㎡墙面积一组，每组不得少于</t>
    </r>
    <r>
      <rPr>
        <sz val="10"/>
        <rFont val="Times New Roman"/>
        <charset val="134"/>
      </rPr>
      <t>3</t>
    </r>
    <r>
      <rPr>
        <sz val="10"/>
        <rFont val="宋体"/>
        <charset val="134"/>
      </rPr>
      <t>个点</t>
    </r>
  </si>
  <si>
    <t>土方回填</t>
  </si>
  <si>
    <t>压实度</t>
  </si>
  <si>
    <t>每层每50~100平方米抽检1点</t>
  </si>
  <si>
    <t>主体结构检测投标报价工程量清单</t>
  </si>
  <si>
    <t>检验项目</t>
  </si>
  <si>
    <t>检测内容</t>
  </si>
  <si>
    <t>依据规范</t>
  </si>
  <si>
    <t>混凝土主结构实检测与装饰工程</t>
  </si>
  <si>
    <r>
      <rPr>
        <sz val="10"/>
        <rFont val="宋体"/>
        <charset val="134"/>
      </rPr>
      <t>钻芯法检测混凝土强度</t>
    </r>
  </si>
  <si>
    <r>
      <rPr>
        <sz val="10"/>
        <rFont val="宋体"/>
        <charset val="134"/>
      </rPr>
      <t>每个单位工程，每三层、每种强度等级的墙柱、梁板至少各抽取一组进行混凝土强度检测；每组不少于三个芯样，其中墙梁交接部位至少抽取一个芯样。</t>
    </r>
  </si>
  <si>
    <r>
      <rPr>
        <sz val="10"/>
        <rFont val="Times New Roman"/>
        <charset val="134"/>
      </rPr>
      <t>2019</t>
    </r>
    <r>
      <rPr>
        <sz val="10"/>
        <rFont val="宋体"/>
        <charset val="134"/>
      </rPr>
      <t>年版《广州市住房和城乡建设局关于加强混凝土结构工程施工质量管理工作的通知》，五、</t>
    </r>
    <r>
      <rPr>
        <sz val="10"/>
        <rFont val="Times New Roman"/>
        <charset val="134"/>
      </rPr>
      <t>16</t>
    </r>
    <r>
      <rPr>
        <sz val="10"/>
        <rFont val="宋体"/>
        <charset val="134"/>
      </rPr>
      <t>条</t>
    </r>
  </si>
  <si>
    <t>芯样</t>
  </si>
  <si>
    <t>氯离子含量检测</t>
  </si>
  <si>
    <t>同上</t>
  </si>
  <si>
    <r>
      <rPr>
        <sz val="10"/>
        <rFont val="Times New Roman"/>
        <charset val="134"/>
      </rPr>
      <t>2019</t>
    </r>
    <r>
      <rPr>
        <sz val="10"/>
        <rFont val="宋体"/>
        <charset val="134"/>
      </rPr>
      <t>年版《广州市住房和城乡建设局关于加强混凝土结构工程施工质量管理工作的通知》，五、16条</t>
    </r>
  </si>
  <si>
    <r>
      <rPr>
        <sz val="10"/>
        <rFont val="宋体"/>
        <charset val="134"/>
      </rPr>
      <t>组</t>
    </r>
  </si>
  <si>
    <t>混凝土强度回弹</t>
  </si>
  <si>
    <t>按批进行检测的构件，抽检数量不得少于同批构件总数的30%且构件数量不得少于10 件。</t>
  </si>
  <si>
    <t>《回弹法检测混凝土抗压强度技术规程》（JGJ/T23－2011）</t>
  </si>
  <si>
    <t>构件</t>
  </si>
  <si>
    <r>
      <rPr>
        <sz val="10"/>
        <rFont val="宋体"/>
        <charset val="134"/>
      </rPr>
      <t>钢筋保护层厚度</t>
    </r>
  </si>
  <si>
    <r>
      <rPr>
        <sz val="10"/>
        <rFont val="宋体"/>
        <charset val="134"/>
      </rPr>
      <t>对非悬挑梁板类构件，应各抽取构件数量的</t>
    </r>
    <r>
      <rPr>
        <sz val="10"/>
        <rFont val="Times New Roman"/>
        <charset val="134"/>
      </rPr>
      <t>2%</t>
    </r>
    <r>
      <rPr>
        <sz val="10"/>
        <rFont val="宋体"/>
        <charset val="134"/>
      </rPr>
      <t>且不少于</t>
    </r>
    <r>
      <rPr>
        <sz val="10"/>
        <rFont val="Times New Roman"/>
        <charset val="134"/>
      </rPr>
      <t>5</t>
    </r>
    <r>
      <rPr>
        <sz val="10"/>
        <rFont val="宋体"/>
        <charset val="134"/>
      </rPr>
      <t>个构件；悬挑梁应抽取构件数量</t>
    </r>
    <r>
      <rPr>
        <sz val="10"/>
        <rFont val="Times New Roman"/>
        <charset val="134"/>
      </rPr>
      <t>5%</t>
    </r>
    <r>
      <rPr>
        <sz val="10"/>
        <rFont val="宋体"/>
        <charset val="134"/>
      </rPr>
      <t>且不少于</t>
    </r>
    <r>
      <rPr>
        <sz val="10"/>
        <rFont val="Times New Roman"/>
        <charset val="134"/>
      </rPr>
      <t>10</t>
    </r>
    <r>
      <rPr>
        <sz val="10"/>
        <rFont val="宋体"/>
        <charset val="134"/>
      </rPr>
      <t>个构件；悬挑板应抽取构件数量的10%，且不少于20个。</t>
    </r>
  </si>
  <si>
    <r>
      <rPr>
        <sz val="10"/>
        <rFont val="宋体"/>
        <charset val="134"/>
      </rPr>
      <t>《混凝土结构工程施工质量验收规范》</t>
    </r>
    <r>
      <rPr>
        <sz val="10"/>
        <rFont val="Times New Roman"/>
        <charset val="134"/>
      </rPr>
      <t>GB50204-2015</t>
    </r>
    <r>
      <rPr>
        <sz val="10"/>
        <rFont val="宋体"/>
        <charset val="134"/>
      </rPr>
      <t>，附录E、附录F</t>
    </r>
  </si>
  <si>
    <r>
      <rPr>
        <sz val="10"/>
        <rFont val="宋体"/>
        <charset val="134"/>
      </rPr>
      <t>构件</t>
    </r>
  </si>
  <si>
    <r>
      <rPr>
        <sz val="10"/>
        <rFont val="宋体"/>
        <charset val="134"/>
      </rPr>
      <t>钢筋配置</t>
    </r>
  </si>
  <si>
    <r>
      <rPr>
        <sz val="10"/>
        <rFont val="宋体"/>
        <charset val="134"/>
      </rPr>
      <t>构件截面尺寸</t>
    </r>
  </si>
  <si>
    <r>
      <rPr>
        <sz val="10"/>
        <rFont val="宋体"/>
        <charset val="134"/>
      </rPr>
      <t>梁、柱应抽检构件数量的</t>
    </r>
    <r>
      <rPr>
        <sz val="10"/>
        <rFont val="Times New Roman"/>
        <charset val="134"/>
      </rPr>
      <t>1%</t>
    </r>
    <r>
      <rPr>
        <sz val="10"/>
        <rFont val="宋体"/>
        <charset val="134"/>
      </rPr>
      <t>，且不应少于</t>
    </r>
    <r>
      <rPr>
        <sz val="10"/>
        <rFont val="Times New Roman"/>
        <charset val="134"/>
      </rPr>
      <t>3</t>
    </r>
    <r>
      <rPr>
        <sz val="10"/>
        <rFont val="宋体"/>
        <charset val="134"/>
      </rPr>
      <t>构件；墙、板应按有代表性的自然间抽取</t>
    </r>
    <r>
      <rPr>
        <sz val="10"/>
        <rFont val="Times New Roman"/>
        <charset val="134"/>
      </rPr>
      <t>1%</t>
    </r>
    <r>
      <rPr>
        <sz val="10"/>
        <rFont val="宋体"/>
        <charset val="134"/>
      </rPr>
      <t>，且不应少于</t>
    </r>
    <r>
      <rPr>
        <sz val="10"/>
        <rFont val="Times New Roman"/>
        <charset val="134"/>
      </rPr>
      <t>3</t>
    </r>
    <r>
      <rPr>
        <sz val="10"/>
        <rFont val="宋体"/>
        <charset val="134"/>
      </rPr>
      <t>构件。</t>
    </r>
  </si>
  <si>
    <t>植筋/化学锚栓
抗拔承载力</t>
  </si>
  <si>
    <r>
      <rPr>
        <sz val="10"/>
        <rFont val="宋体"/>
        <charset val="134"/>
      </rPr>
      <t>现场破坏性检验应取每一检验批锚固件总数的</t>
    </r>
    <r>
      <rPr>
        <sz val="10"/>
        <rFont val="Times New Roman"/>
        <charset val="134"/>
      </rPr>
      <t>0.1%</t>
    </r>
    <r>
      <rPr>
        <sz val="10"/>
        <rFont val="宋体"/>
        <charset val="134"/>
      </rPr>
      <t>且不少于</t>
    </r>
    <r>
      <rPr>
        <sz val="10"/>
        <rFont val="Times New Roman"/>
        <charset val="134"/>
      </rPr>
      <t>5</t>
    </r>
    <r>
      <rPr>
        <sz val="10"/>
        <rFont val="宋体"/>
        <charset val="134"/>
      </rPr>
      <t>件进行检验；锚固件为植筋且总数不超过</t>
    </r>
    <r>
      <rPr>
        <sz val="10"/>
        <rFont val="Times New Roman"/>
        <charset val="134"/>
      </rPr>
      <t>100</t>
    </r>
    <r>
      <rPr>
        <sz val="10"/>
        <rFont val="宋体"/>
        <charset val="134"/>
      </rPr>
      <t>件时，可取</t>
    </r>
    <r>
      <rPr>
        <sz val="10"/>
        <rFont val="Times New Roman"/>
        <charset val="134"/>
      </rPr>
      <t>3</t>
    </r>
    <r>
      <rPr>
        <sz val="10"/>
        <rFont val="宋体"/>
        <charset val="134"/>
      </rPr>
      <t>件检验。现场非破坏性检验：对于非生命线工程的非结构构件，应取每一检验批锚栓总数的</t>
    </r>
    <r>
      <rPr>
        <sz val="10"/>
        <rFont val="Times New Roman"/>
        <charset val="134"/>
      </rPr>
      <t>0.1%</t>
    </r>
    <r>
      <rPr>
        <sz val="10"/>
        <rFont val="宋体"/>
        <charset val="134"/>
      </rPr>
      <t>且不少于</t>
    </r>
    <r>
      <rPr>
        <sz val="10"/>
        <rFont val="Times New Roman"/>
        <charset val="134"/>
      </rPr>
      <t>5</t>
    </r>
    <r>
      <rPr>
        <sz val="10"/>
        <rFont val="宋体"/>
        <charset val="134"/>
      </rPr>
      <t>件进行检验，应取每一检验批植筋总数的</t>
    </r>
    <r>
      <rPr>
        <sz val="10"/>
        <rFont val="Times New Roman"/>
        <charset val="134"/>
      </rPr>
      <t>0.1%</t>
    </r>
    <r>
      <rPr>
        <sz val="10"/>
        <rFont val="宋体"/>
        <charset val="134"/>
      </rPr>
      <t>且不少于</t>
    </r>
    <r>
      <rPr>
        <sz val="10"/>
        <rFont val="Times New Roman"/>
        <charset val="134"/>
      </rPr>
      <t>3</t>
    </r>
    <r>
      <rPr>
        <sz val="10"/>
        <rFont val="宋体"/>
        <charset val="134"/>
      </rPr>
      <t>件进行检验。</t>
    </r>
  </si>
  <si>
    <r>
      <rPr>
        <sz val="10"/>
        <rFont val="宋体"/>
        <charset val="134"/>
      </rPr>
      <t>《混凝土结构后锚固技术规程》</t>
    </r>
    <r>
      <rPr>
        <sz val="10"/>
        <rFont val="Times New Roman"/>
        <charset val="134"/>
      </rPr>
      <t>JGJ 145-2013,</t>
    </r>
    <r>
      <rPr>
        <sz val="10"/>
        <rFont val="宋体"/>
        <charset val="134"/>
      </rPr>
      <t>附录C</t>
    </r>
  </si>
  <si>
    <t>装配式工程</t>
  </si>
  <si>
    <t>隔墙冲击</t>
  </si>
  <si>
    <t>单位工程、同类型、同种连接方式的隔墙，抽取一组 3 块墙体进行试验</t>
  </si>
  <si>
    <t>《装配式混凝土建筑工程施工质量验收规范》（DBJ/T 15/171-2019）</t>
  </si>
  <si>
    <t>构件性能试验</t>
  </si>
  <si>
    <t>应选取有代表性的预制阳台等悬挑构件进行结构荷载试验，单位工程不少于1个同类型构件；
受弯预制构件应进行结构构件性能检验，对跨度小于3m的楼梯、跨度小于3m的楼板、跨度小于4m的梁、叠合受弯构件，单位工程、同一结构形式构件随机抽取1件。</t>
  </si>
  <si>
    <t>《装配式混凝土建筑工程施工质量验收规范》（DBJ/T 15/171-2019）,4.2.2条及7.0.1条</t>
  </si>
  <si>
    <t>预制构件受力预埋件抗拔、抗剪性</t>
  </si>
  <si>
    <t>单位工程、同一设计指标的预埋件随机抽取5个</t>
  </si>
  <si>
    <t>管道工程（燃气管道）</t>
  </si>
  <si>
    <t>焊缝无损检测</t>
  </si>
  <si>
    <t>抽检比例:活动焊口10%、固定焊口
100%</t>
  </si>
  <si>
    <t>《承压设备无损检测》NB/T47013-2015</t>
  </si>
  <si>
    <t>人防主体结构检测投标报价工程量清单</t>
  </si>
  <si>
    <t>不含税投标总价
（元）</t>
  </si>
  <si>
    <t>人防实体
检测</t>
  </si>
  <si>
    <r>
      <rPr>
        <sz val="10"/>
        <rFont val="宋体"/>
        <charset val="134"/>
      </rPr>
      <t>每个防护单元抽取不少于</t>
    </r>
    <r>
      <rPr>
        <sz val="10"/>
        <rFont val="Times New Roman"/>
        <charset val="134"/>
      </rPr>
      <t>3</t>
    </r>
    <r>
      <rPr>
        <sz val="10"/>
        <rFont val="宋体"/>
        <charset val="134"/>
      </rPr>
      <t>根柱子进行检测。每面墙抽取一个区域进行检测。每个防护单元抽取不少于3块板，每块板抽取不少于1个点进行检测。</t>
    </r>
  </si>
  <si>
    <t>防空地下室结构检测指引（穗民防建[2013]400号</t>
  </si>
  <si>
    <t>回弹法检测混凝土强度</t>
  </si>
  <si>
    <r>
      <rPr>
        <sz val="10"/>
        <rFont val="宋体"/>
        <charset val="134"/>
      </rPr>
      <t>每个防护单元抽取不少于</t>
    </r>
    <r>
      <rPr>
        <sz val="10"/>
        <rFont val="Times New Roman"/>
        <charset val="134"/>
      </rPr>
      <t>3</t>
    </r>
    <r>
      <rPr>
        <sz val="10"/>
        <rFont val="宋体"/>
        <charset val="134"/>
      </rPr>
      <t>根柱子进行检测。每面墙抽取一个区域进行检测。</t>
    </r>
  </si>
  <si>
    <t>每个防护单元抽检不少于5条梁进行检测。每面墙抽取一个区域。每个防护单元抽检数量不少于5块板进行检测。</t>
  </si>
  <si>
    <r>
      <rPr>
        <sz val="10"/>
        <rFont val="宋体"/>
        <charset val="134"/>
      </rPr>
      <t>1、《混凝土结构工程施工质量验收规范》</t>
    </r>
    <r>
      <rPr>
        <sz val="10"/>
        <rFont val="Times New Roman"/>
        <charset val="134"/>
      </rPr>
      <t>B50204-2015</t>
    </r>
    <r>
      <rPr>
        <sz val="10"/>
        <rFont val="宋体"/>
        <charset val="134"/>
      </rPr>
      <t>，附录E、附录F
2、防空地下室结构检测指引（穗民防建[2013]400号</t>
    </r>
  </si>
  <si>
    <t>每个防护单元抽检不少于3条梁进行检测。每个防护单元抽检不少于3根柱进行检测。每面墙抽取一个区域。结合混凝土强度检测中顶板的抽检频率进行检测。</t>
  </si>
  <si>
    <t xml:space="preserve">
人防工程防护设备安装质量检测投标报价工程量清单</t>
  </si>
  <si>
    <t>类别</t>
  </si>
  <si>
    <t>检测名称</t>
  </si>
  <si>
    <t>取样批量规定</t>
  </si>
  <si>
    <t>检测为依据</t>
  </si>
  <si>
    <t>手动钢结构防护、防护密闭门、密闭门</t>
  </si>
  <si>
    <t>设备型号</t>
  </si>
  <si>
    <r>
      <rPr>
        <sz val="10"/>
        <rFont val="宋体"/>
        <charset val="134"/>
      </rPr>
      <t>穗人防办</t>
    </r>
    <r>
      <rPr>
        <sz val="10"/>
        <rFont val="Times New Roman"/>
        <charset val="134"/>
      </rPr>
      <t>[2023]1</t>
    </r>
    <r>
      <rPr>
        <sz val="10"/>
        <rFont val="宋体"/>
        <charset val="134"/>
      </rPr>
      <t>号第七条第三小点要求，对防护设备的安装质量进行逐樘检测评定</t>
    </r>
  </si>
  <si>
    <t>主控项目</t>
  </si>
  <si>
    <r>
      <rPr>
        <sz val="10"/>
        <rFont val="Times New Roman"/>
        <charset val="134"/>
      </rPr>
      <t>RFJ003-2021</t>
    </r>
    <r>
      <rPr>
        <sz val="10"/>
        <rFont val="宋体"/>
        <charset val="134"/>
      </rPr>
      <t>人民防空工程防护设备产品与安装质量检测标准（暂行）</t>
    </r>
  </si>
  <si>
    <t>开启方向</t>
  </si>
  <si>
    <t>门扇厚度偏差</t>
  </si>
  <si>
    <t>面板厚度偏差</t>
  </si>
  <si>
    <r>
      <rPr>
        <sz val="10"/>
        <rFont val="宋体"/>
        <charset val="134"/>
      </rPr>
      <t>热轧钢板和钢带的尺寸、外形、重量及允许偏差</t>
    </r>
    <r>
      <rPr>
        <sz val="10"/>
        <rFont val="Times New Roman"/>
        <charset val="134"/>
      </rPr>
      <t xml:space="preserve"> GB/T 709-2006</t>
    </r>
  </si>
  <si>
    <t>樘</t>
  </si>
  <si>
    <t>结构焊缝质量</t>
  </si>
  <si>
    <r>
      <rPr>
        <sz val="10"/>
        <rFont val="Times New Roman"/>
        <charset val="134"/>
      </rPr>
      <t xml:space="preserve">GB50205-2020 </t>
    </r>
    <r>
      <rPr>
        <sz val="10"/>
        <rFont val="宋体"/>
        <charset val="134"/>
      </rPr>
      <t>钢结构工程施工质量验收标准</t>
    </r>
  </si>
  <si>
    <t>漏气孔缝</t>
  </si>
  <si>
    <t>密封件质量</t>
  </si>
  <si>
    <t>门扇、门框贴合面间隙</t>
  </si>
  <si>
    <t>密封胶条嵌压中心线偏差</t>
  </si>
  <si>
    <t>一般项目</t>
  </si>
  <si>
    <r>
      <rPr>
        <sz val="10"/>
        <rFont val="宋体"/>
        <charset val="134"/>
      </rPr>
      <t>门框左右角钢垂直度</t>
    </r>
    <r>
      <rPr>
        <sz val="10"/>
        <rFont val="Times New Roman"/>
        <charset val="134"/>
      </rPr>
      <t>(</t>
    </r>
    <r>
      <rPr>
        <sz val="10"/>
        <rFont val="宋体"/>
        <charset val="134"/>
      </rPr>
      <t>前后</t>
    </r>
    <r>
      <rPr>
        <sz val="10"/>
        <rFont val="Times New Roman"/>
        <charset val="134"/>
      </rPr>
      <t>)</t>
    </r>
  </si>
  <si>
    <r>
      <rPr>
        <sz val="10"/>
        <rFont val="宋体"/>
        <charset val="134"/>
      </rPr>
      <t>门框左右角钢垂直度</t>
    </r>
    <r>
      <rPr>
        <sz val="10"/>
        <rFont val="Times New Roman"/>
        <charset val="134"/>
      </rPr>
      <t>(</t>
    </r>
    <r>
      <rPr>
        <sz val="10"/>
        <rFont val="宋体"/>
        <charset val="134"/>
      </rPr>
      <t>左右</t>
    </r>
    <r>
      <rPr>
        <sz val="10"/>
        <rFont val="Times New Roman"/>
        <charset val="134"/>
      </rPr>
      <t>)</t>
    </r>
  </si>
  <si>
    <t>门扇启闭力</t>
  </si>
  <si>
    <t>关锁操纵力</t>
  </si>
  <si>
    <t>闭锁头同步、锁紧情况</t>
  </si>
  <si>
    <t>启闭运转性能</t>
  </si>
  <si>
    <t>表面观感</t>
  </si>
  <si>
    <t>漆膜厚度</t>
  </si>
  <si>
    <t>漆膜附着力</t>
  </si>
  <si>
    <t>运动部位保护</t>
  </si>
  <si>
    <t>铭牌、开关标志等标识</t>
  </si>
  <si>
    <t>钢筋混凝土防护门、防护密闭门、密闭门</t>
  </si>
  <si>
    <t>门扇、门框贴合面中心线偏差</t>
  </si>
  <si>
    <r>
      <rPr>
        <sz val="10"/>
        <rFont val="宋体"/>
        <charset val="134"/>
      </rPr>
      <t>门框左右角钢垂直度</t>
    </r>
    <r>
      <rPr>
        <sz val="10"/>
        <rFont val="Times New Roman"/>
        <charset val="134"/>
      </rPr>
      <t>(</t>
    </r>
    <r>
      <rPr>
        <sz val="10"/>
        <rFont val="宋体"/>
        <charset val="134"/>
      </rPr>
      <t>前后</t>
    </r>
    <r>
      <rPr>
        <sz val="10"/>
        <rFont val="Times New Roman"/>
        <charset val="134"/>
      </rPr>
      <t xml:space="preserve"> )</t>
    </r>
  </si>
  <si>
    <r>
      <rPr>
        <sz val="10"/>
        <rFont val="宋体"/>
        <charset val="134"/>
      </rPr>
      <t>门框左右角钢垂直度</t>
    </r>
    <r>
      <rPr>
        <sz val="10"/>
        <rFont val="Times New Roman"/>
        <charset val="134"/>
      </rPr>
      <t>(</t>
    </r>
    <r>
      <rPr>
        <sz val="10"/>
        <rFont val="宋体"/>
        <charset val="134"/>
      </rPr>
      <t>左右</t>
    </r>
    <r>
      <rPr>
        <sz val="10"/>
        <rFont val="Times New Roman"/>
        <charset val="134"/>
      </rPr>
      <t xml:space="preserve"> )</t>
    </r>
  </si>
  <si>
    <t>悬摆式防爆波活门</t>
  </si>
  <si>
    <r>
      <rPr>
        <sz val="10"/>
        <rFont val="宋体"/>
        <charset val="134"/>
      </rPr>
      <t>门扇</t>
    </r>
    <r>
      <rPr>
        <sz val="10"/>
        <rFont val="Times New Roman"/>
        <charset val="134"/>
      </rPr>
      <t>(</t>
    </r>
    <r>
      <rPr>
        <sz val="10"/>
        <rFont val="宋体"/>
        <charset val="134"/>
      </rPr>
      <t>或底座</t>
    </r>
    <r>
      <rPr>
        <sz val="10"/>
        <rFont val="Times New Roman"/>
        <charset val="134"/>
      </rPr>
      <t>)</t>
    </r>
    <r>
      <rPr>
        <sz val="10"/>
        <rFont val="宋体"/>
        <charset val="134"/>
      </rPr>
      <t>的厚度偏差</t>
    </r>
  </si>
  <si>
    <t>焊缝质量要求</t>
  </si>
  <si>
    <t>通风量要求</t>
  </si>
  <si>
    <t>悬摆板启闭力</t>
  </si>
  <si>
    <r>
      <rPr>
        <sz val="10"/>
        <rFont val="宋体"/>
        <charset val="134"/>
      </rPr>
      <t>穗人防办</t>
    </r>
    <r>
      <rPr>
        <sz val="10"/>
        <rFont val="Times New Roman"/>
        <charset val="134"/>
      </rPr>
      <t>[2023]6</t>
    </r>
    <r>
      <rPr>
        <sz val="10"/>
        <rFont val="宋体"/>
        <charset val="134"/>
      </rPr>
      <t>号第七条第三小点要求，对防护设备的安装质量进行逐樘检测评定</t>
    </r>
  </si>
  <si>
    <t>门扇关闭力</t>
  </si>
  <si>
    <t>闭锁锁紧力</t>
  </si>
  <si>
    <t>防护密闭封堵板</t>
  </si>
  <si>
    <t>防冲击波方向</t>
  </si>
  <si>
    <t>结构厚度偏差（封堵板）</t>
  </si>
  <si>
    <t>焊缝厚度要求</t>
  </si>
  <si>
    <r>
      <rPr>
        <sz val="10"/>
        <rFont val="宋体"/>
        <charset val="134"/>
      </rPr>
      <t>封堵框左右角钢垂直度</t>
    </r>
    <r>
      <rPr>
        <sz val="10"/>
        <rFont val="Times New Roman"/>
        <charset val="134"/>
      </rPr>
      <t>(</t>
    </r>
    <r>
      <rPr>
        <sz val="10"/>
        <rFont val="宋体"/>
        <charset val="134"/>
      </rPr>
      <t>前后</t>
    </r>
    <r>
      <rPr>
        <sz val="10"/>
        <rFont val="Times New Roman"/>
        <charset val="134"/>
      </rPr>
      <t xml:space="preserve"> )</t>
    </r>
  </si>
  <si>
    <r>
      <rPr>
        <sz val="10"/>
        <rFont val="宋体"/>
        <charset val="134"/>
      </rPr>
      <t>封堵框左右角钢垂直度</t>
    </r>
    <r>
      <rPr>
        <sz val="10"/>
        <rFont val="Times New Roman"/>
        <charset val="134"/>
      </rPr>
      <t>(</t>
    </r>
    <r>
      <rPr>
        <sz val="10"/>
        <rFont val="宋体"/>
        <charset val="134"/>
      </rPr>
      <t>左右</t>
    </r>
    <r>
      <rPr>
        <sz val="10"/>
        <rFont val="Times New Roman"/>
        <charset val="134"/>
      </rPr>
      <t xml:space="preserve"> )</t>
    </r>
  </si>
  <si>
    <t>密闭阀门</t>
  </si>
  <si>
    <t>管壁厚度</t>
  </si>
  <si>
    <t>密闭性能</t>
  </si>
  <si>
    <t>通风量</t>
  </si>
  <si>
    <t>阀门固定情况</t>
  </si>
  <si>
    <t>法兰螺栓连接情况</t>
  </si>
  <si>
    <t>阀板启闭力</t>
  </si>
  <si>
    <t>启闭运转性能要求</t>
  </si>
  <si>
    <t>防爆地漏</t>
  </si>
  <si>
    <t>地漏接口及管径偏差</t>
  </si>
  <si>
    <t>地漏盖旋转灵活无卡阻</t>
  </si>
  <si>
    <t>防爆超压排气活门</t>
  </si>
  <si>
    <r>
      <rPr>
        <sz val="10"/>
        <rFont val="宋体"/>
        <charset val="134"/>
      </rPr>
      <t>阀盖</t>
    </r>
    <r>
      <rPr>
        <sz val="10"/>
        <color theme="1"/>
        <rFont val="Times New Roman"/>
        <charset val="134"/>
      </rPr>
      <t>/</t>
    </r>
    <r>
      <rPr>
        <sz val="10"/>
        <color theme="1"/>
        <rFont val="宋体"/>
        <charset val="134"/>
      </rPr>
      <t>活门盘厚度</t>
    </r>
  </si>
  <si>
    <t>平衡锤连杆垂直度</t>
  </si>
  <si>
    <t>法兰连接</t>
  </si>
  <si>
    <r>
      <rPr>
        <sz val="10"/>
        <rFont val="宋体"/>
        <charset val="134"/>
      </rPr>
      <t>阀盖</t>
    </r>
    <r>
      <rPr>
        <sz val="10"/>
        <color theme="1"/>
        <rFont val="Times New Roman"/>
        <charset val="134"/>
      </rPr>
      <t>/</t>
    </r>
    <r>
      <rPr>
        <sz val="10"/>
        <color theme="1"/>
        <rFont val="宋体"/>
        <charset val="134"/>
      </rPr>
      <t>活门盘与壳体锁闭</t>
    </r>
  </si>
  <si>
    <r>
      <rPr>
        <sz val="10"/>
        <rFont val="宋体"/>
        <charset val="134"/>
      </rPr>
      <t>阀盖</t>
    </r>
    <r>
      <rPr>
        <sz val="10"/>
        <color theme="1"/>
        <rFont val="Times New Roman"/>
        <charset val="134"/>
      </rPr>
      <t>/</t>
    </r>
    <r>
      <rPr>
        <sz val="10"/>
        <color theme="1"/>
        <rFont val="宋体"/>
        <charset val="134"/>
      </rPr>
      <t>活门盘锁紧力</t>
    </r>
  </si>
  <si>
    <t>密闭观察窗</t>
  </si>
  <si>
    <t>密闭观察窗厚度</t>
  </si>
  <si>
    <t>螺栓与孔配合情况</t>
  </si>
  <si>
    <t>风机</t>
  </si>
  <si>
    <t>明确外观涂装、产品标识及制造标识情况</t>
  </si>
  <si>
    <t>外观检测</t>
  </si>
  <si>
    <t>明确进出风管道连接情况</t>
  </si>
  <si>
    <t>明确进出风口管道连接情况</t>
  </si>
  <si>
    <t>安装检测</t>
  </si>
  <si>
    <t>明确风机落地支承情况以及安装是否牢固情况</t>
  </si>
  <si>
    <t>明确设备运行标识以及运行是否平稳无异响</t>
  </si>
  <si>
    <t>性能检测</t>
  </si>
  <si>
    <t>检测振动速度</t>
  </si>
  <si>
    <t>过滤吸收器</t>
  </si>
  <si>
    <t>明确编号、外观涂装、产品标识情况</t>
  </si>
  <si>
    <t>明确连接管道质量情况</t>
  </si>
  <si>
    <t>明确支架安装及维护空间情况</t>
  </si>
  <si>
    <t>确认设备阻力标识是否符合标准要求</t>
  </si>
  <si>
    <t>油网滤尘器</t>
  </si>
  <si>
    <t>正向垂直度</t>
  </si>
  <si>
    <t>侧向垂直度</t>
  </si>
  <si>
    <t>通风管道</t>
  </si>
  <si>
    <t>明确焊接外观质量、明确涂装外观质量及焊接形式</t>
  </si>
  <si>
    <r>
      <rPr>
        <sz val="10"/>
        <rFont val="宋体"/>
        <charset val="134"/>
      </rPr>
      <t>穗人防办</t>
    </r>
    <r>
      <rPr>
        <sz val="10"/>
        <rFont val="Times New Roman"/>
        <charset val="134"/>
      </rPr>
      <t>{2023}1</t>
    </r>
    <r>
      <rPr>
        <sz val="10"/>
        <rFont val="宋体"/>
        <charset val="134"/>
      </rPr>
      <t>号附件</t>
    </r>
    <r>
      <rPr>
        <sz val="10"/>
        <rFont val="Times New Roman"/>
        <charset val="134"/>
      </rPr>
      <t>2</t>
    </r>
    <r>
      <rPr>
        <sz val="10"/>
        <rFont val="宋体"/>
        <charset val="134"/>
      </rPr>
      <t>：有则需检</t>
    </r>
  </si>
  <si>
    <t>明确管道与设备连接情况、检查风管安装构件是否符合标准或图纸要求</t>
  </si>
  <si>
    <r>
      <rPr>
        <sz val="10"/>
        <rFont val="宋体"/>
        <charset val="134"/>
      </rPr>
      <t>钢结构工程施工质量验收标准</t>
    </r>
    <r>
      <rPr>
        <sz val="10"/>
        <rFont val="Times New Roman"/>
        <charset val="134"/>
      </rPr>
      <t>GB50205-2020</t>
    </r>
  </si>
  <si>
    <t>管道管壁厚度</t>
  </si>
  <si>
    <t>金属风管钢板厚度</t>
  </si>
  <si>
    <t>合计（元）</t>
  </si>
  <si>
    <t>室内环境检测投标报价工程量清单</t>
  </si>
  <si>
    <t>室内空气污染物含量</t>
  </si>
  <si>
    <t>甲醛、氨、苯、甲苯、二甲苯、氡气、TVOC</t>
  </si>
  <si>
    <t>按照《民用建筑工程室内环境污染控制标准》GB50325-2020规定:每个建筑单体抽检量不得少于房间总数的5%，并不得少于3间。其中，按标准6.0.14条规定，幼儿园、学校教室、学生宿舍、老年人照料房屋设施室内装饰装修验收时，室内空气中氡、甲醛、氨、苯、甲苯、二甲苯、TVOC的抽检量不得少于房间总数的50%，且不得少于20间。当房间总数不大于20间时，应全数检测。检测点数设置按房间使用面积分别计算：&lt;50m2，1点、50～100m2，2点；100～500m2，不少于3点；500～1000m2，不少于5点；≥1000㎡的部分，每增加1000㎡增设1，增加面积不足≥1000㎡时按增加1000㎡计算</t>
  </si>
  <si>
    <t>防雷及电气检测投标报价工程量清单</t>
  </si>
  <si>
    <t>土壤电阻率</t>
  </si>
  <si>
    <t>根据实际情况确定</t>
  </si>
  <si>
    <t>接地装置</t>
  </si>
  <si>
    <t>接地电阻</t>
  </si>
  <si>
    <t>按桩基接地体数量全检</t>
  </si>
  <si>
    <t>引下线</t>
  </si>
  <si>
    <t>过渡电阻</t>
  </si>
  <si>
    <t>按天面引下线数量全检</t>
  </si>
  <si>
    <t>均压环</t>
  </si>
  <si>
    <t>每十层抽测一处</t>
  </si>
  <si>
    <t>防侧击装置（外侧金属部件）</t>
  </si>
  <si>
    <t>按10%户随机抽检</t>
  </si>
  <si>
    <t>接闪器</t>
  </si>
  <si>
    <t>接闪带按引下线数量确定，接闪杆全检</t>
  </si>
  <si>
    <t>接闪带支持件拉力试验</t>
  </si>
  <si>
    <t>垂直拉力</t>
  </si>
  <si>
    <t>按10%随机抽检</t>
  </si>
  <si>
    <t>天面金属部件</t>
  </si>
  <si>
    <t>全检</t>
  </si>
  <si>
    <t>SPD检测</t>
  </si>
  <si>
    <t>压敏电压、泄漏电流、过渡电阻</t>
  </si>
  <si>
    <t>发电机组负载检测</t>
  </si>
  <si>
    <t>台</t>
  </si>
  <si>
    <t>母线检测</t>
  </si>
  <si>
    <t>园林绿化检测投标报价工程量清单</t>
  </si>
  <si>
    <t>种植土</t>
  </si>
  <si>
    <r>
      <rPr>
        <sz val="10"/>
        <rFont val="宋体"/>
        <charset val="134"/>
      </rPr>
      <t>水分、</t>
    </r>
    <r>
      <rPr>
        <sz val="10"/>
        <rFont val="Times New Roman"/>
        <charset val="134"/>
      </rPr>
      <t>pH</t>
    </r>
    <r>
      <rPr>
        <sz val="10"/>
        <rFont val="宋体"/>
        <charset val="134"/>
      </rPr>
      <t>、</t>
    </r>
    <r>
      <rPr>
        <sz val="10"/>
        <rFont val="Times New Roman"/>
        <charset val="134"/>
      </rPr>
      <t>EC</t>
    </r>
    <r>
      <rPr>
        <sz val="10"/>
        <rFont val="宋体"/>
        <charset val="134"/>
      </rPr>
      <t>值（土壤溶液电导率）、土壤质地、有机质、水解性氮、速效钾、有效磷</t>
    </r>
  </si>
  <si>
    <r>
      <rPr>
        <sz val="10"/>
        <rFont val="宋体"/>
        <charset val="134"/>
      </rPr>
      <t>不少于</t>
    </r>
    <r>
      <rPr>
        <sz val="10"/>
        <rFont val="Times New Roman"/>
        <charset val="134"/>
      </rPr>
      <t>1kg</t>
    </r>
    <r>
      <rPr>
        <sz val="10"/>
        <rFont val="宋体"/>
        <charset val="134"/>
      </rPr>
      <t>；</t>
    </r>
    <r>
      <rPr>
        <sz val="10"/>
        <rFont val="Times New Roman"/>
        <charset val="134"/>
      </rPr>
      <t xml:space="preserve">
</t>
    </r>
    <r>
      <rPr>
        <sz val="10"/>
        <rFont val="宋体"/>
        <charset val="134"/>
      </rPr>
      <t>客土：每</t>
    </r>
    <r>
      <rPr>
        <sz val="10"/>
        <rFont val="Times New Roman"/>
        <charset val="134"/>
      </rPr>
      <t>500m³</t>
    </r>
    <r>
      <rPr>
        <sz val="10"/>
        <rFont val="宋体"/>
        <charset val="134"/>
      </rPr>
      <t>为一个检验批，不少于</t>
    </r>
    <r>
      <rPr>
        <sz val="10"/>
        <rFont val="Times New Roman"/>
        <charset val="134"/>
      </rPr>
      <t>2</t>
    </r>
    <r>
      <rPr>
        <sz val="10"/>
        <rFont val="宋体"/>
        <charset val="134"/>
      </rPr>
      <t>批次，每批次抽不少于</t>
    </r>
    <r>
      <rPr>
        <sz val="10"/>
        <rFont val="Times New Roman"/>
        <charset val="134"/>
      </rPr>
      <t>2</t>
    </r>
    <r>
      <rPr>
        <sz val="10"/>
        <rFont val="宋体"/>
        <charset val="134"/>
      </rPr>
      <t>个样。</t>
    </r>
    <r>
      <rPr>
        <sz val="10"/>
        <rFont val="Times New Roman"/>
        <charset val="134"/>
      </rPr>
      <t xml:space="preserve">
</t>
    </r>
    <r>
      <rPr>
        <sz val="10"/>
        <rFont val="宋体"/>
        <charset val="134"/>
      </rPr>
      <t>原土：每</t>
    </r>
    <r>
      <rPr>
        <sz val="10"/>
        <rFont val="Times New Roman"/>
        <charset val="134"/>
      </rPr>
      <t>5000</t>
    </r>
    <r>
      <rPr>
        <sz val="10"/>
        <rFont val="宋体"/>
        <charset val="134"/>
      </rPr>
      <t>㎡为一个检验批，不少于</t>
    </r>
    <r>
      <rPr>
        <sz val="10"/>
        <rFont val="Times New Roman"/>
        <charset val="134"/>
      </rPr>
      <t>2</t>
    </r>
    <r>
      <rPr>
        <sz val="10"/>
        <rFont val="宋体"/>
        <charset val="134"/>
      </rPr>
      <t>批次，每批次抽不少于</t>
    </r>
    <r>
      <rPr>
        <sz val="10"/>
        <rFont val="Times New Roman"/>
        <charset val="134"/>
      </rPr>
      <t>2</t>
    </r>
    <r>
      <rPr>
        <sz val="10"/>
        <rFont val="宋体"/>
        <charset val="134"/>
      </rPr>
      <t>个样。</t>
    </r>
  </si>
  <si>
    <t>有机肥</t>
  </si>
  <si>
    <t>有机质含量、全氮、全磷、全钾、酸碱度、水份</t>
  </si>
  <si>
    <r>
      <rPr>
        <sz val="10"/>
        <rFont val="宋体"/>
        <charset val="134"/>
      </rPr>
      <t>干样不少于</t>
    </r>
    <r>
      <rPr>
        <sz val="10"/>
        <rFont val="Times New Roman"/>
        <charset val="134"/>
      </rPr>
      <t>1.5kg</t>
    </r>
    <r>
      <rPr>
        <sz val="10"/>
        <rFont val="宋体"/>
        <charset val="134"/>
      </rPr>
      <t>；湿样</t>
    </r>
    <r>
      <rPr>
        <sz val="10"/>
        <rFont val="Times New Roman"/>
        <charset val="134"/>
      </rPr>
      <t>5kg</t>
    </r>
    <r>
      <rPr>
        <sz val="10"/>
        <rFont val="宋体"/>
        <charset val="134"/>
      </rPr>
      <t>。按规格批次次不少于</t>
    </r>
    <r>
      <rPr>
        <sz val="10"/>
        <rFont val="Times New Roman"/>
        <charset val="134"/>
      </rPr>
      <t>2</t>
    </r>
    <r>
      <rPr>
        <sz val="10"/>
        <rFont val="宋体"/>
        <charset val="134"/>
      </rPr>
      <t>个样。</t>
    </r>
  </si>
  <si>
    <t>乔灌木</t>
  </si>
  <si>
    <t>植物病害、虫害、寄生性种子植物</t>
  </si>
  <si>
    <r>
      <rPr>
        <sz val="10"/>
        <rFont val="宋体"/>
        <charset val="134"/>
      </rPr>
      <t>乔灌木每</t>
    </r>
    <r>
      <rPr>
        <sz val="10"/>
        <rFont val="Times New Roman"/>
        <charset val="134"/>
      </rPr>
      <t>100</t>
    </r>
    <r>
      <rPr>
        <sz val="10"/>
        <rFont val="宋体"/>
        <charset val="134"/>
      </rPr>
      <t>株检查</t>
    </r>
    <r>
      <rPr>
        <sz val="10"/>
        <rFont val="Times New Roman"/>
        <charset val="134"/>
      </rPr>
      <t>10</t>
    </r>
    <r>
      <rPr>
        <sz val="10"/>
        <rFont val="宋体"/>
        <charset val="134"/>
      </rPr>
      <t>株，少于</t>
    </r>
    <r>
      <rPr>
        <sz val="10"/>
        <rFont val="Times New Roman"/>
        <charset val="134"/>
      </rPr>
      <t>20</t>
    </r>
    <r>
      <rPr>
        <sz val="10"/>
        <rFont val="宋体"/>
        <charset val="134"/>
      </rPr>
      <t>株，全数检查。草坪、地被、花卉按面积抽查</t>
    </r>
    <r>
      <rPr>
        <sz val="10"/>
        <rFont val="Times New Roman"/>
        <charset val="134"/>
      </rPr>
      <t>10%</t>
    </r>
    <r>
      <rPr>
        <sz val="10"/>
        <rFont val="宋体"/>
        <charset val="134"/>
      </rPr>
      <t>，</t>
    </r>
    <r>
      <rPr>
        <sz val="10"/>
        <rFont val="Times New Roman"/>
        <charset val="134"/>
      </rPr>
      <t>4m²</t>
    </r>
    <r>
      <rPr>
        <sz val="10"/>
        <rFont val="宋体"/>
        <charset val="134"/>
      </rPr>
      <t>为一点，至少</t>
    </r>
    <r>
      <rPr>
        <sz val="10"/>
        <rFont val="Times New Roman"/>
        <charset val="134"/>
      </rPr>
      <t>5</t>
    </r>
    <r>
      <rPr>
        <sz val="10"/>
        <rFont val="宋体"/>
        <charset val="134"/>
      </rPr>
      <t>个点，</t>
    </r>
    <r>
      <rPr>
        <sz val="10"/>
        <rFont val="Times New Roman"/>
        <charset val="134"/>
      </rPr>
      <t>≤30m²</t>
    </r>
    <r>
      <rPr>
        <sz val="10"/>
        <rFont val="宋体"/>
        <charset val="134"/>
      </rPr>
      <t>全数检查。</t>
    </r>
  </si>
  <si>
    <t>地被</t>
  </si>
  <si>
    <t>节能与绿建检测投标报价工程量清单</t>
  </si>
  <si>
    <t>抽检比例依据</t>
  </si>
  <si>
    <t>墙体节能工程</t>
  </si>
  <si>
    <t>保温砌块导热系数、密度、抗压强度、吸水率</t>
  </si>
  <si>
    <t>DBJ15-65-2021 6.2.2                                     同厂家、同品种产品，按照扣除门窗洞口后的保温墙面面积，每5000m2抽检一次。</t>
  </si>
  <si>
    <t>保温砂浆导热系数、干密度、抗压强度</t>
  </si>
  <si>
    <t>外墙浅色外饰面材料太阳辐射吸收系数</t>
  </si>
  <si>
    <t>外墙传热系数</t>
  </si>
  <si>
    <t>DBJ15-65-2021 24.0.7-3
每个单位工程的每种不同构造的外墙各抽查1处。同工程项目、同施工单位且同期施工的多个单位工程，可合并计算建筑面积；每30000㎡可视为一个单位工程进行抽样，不足30000㎡也视为一个单位工程</t>
  </si>
  <si>
    <t>外墙节能构造钻芯</t>
  </si>
  <si>
    <t>DBJ15-65-2021 23.1.5-1
每个单位工程每种节能构造不少于1组（3处）。同工程项目、同施工单位且同期施工的多个单位工程，可合并计算建筑面积；每30000㎡可视为一个单位工程进行抽样，不足30000㎡也视为一个单位工程</t>
  </si>
  <si>
    <t>屋面节能工程</t>
  </si>
  <si>
    <t>屋面保温材料（挤塑板）导热系数、密度、压缩强度、吸水率、燃烧性能分级(B1)</t>
  </si>
  <si>
    <t>DBJ15-65-2021 12.2.3
同厂家、同品种产品，按照扣除天窗、采光屋面后的屋面面积，每1000m2抽检一次。</t>
  </si>
  <si>
    <t>门窗节能工程</t>
  </si>
  <si>
    <t>门窗中空玻璃光学热工性能</t>
  </si>
  <si>
    <t>DBJ15-65-2021 8.2.3                         
不同厂家、材质、开启方式、型材系列的产品各抽查1次。</t>
  </si>
  <si>
    <t>门窗中空玻璃露点</t>
  </si>
  <si>
    <t>通风与空调系统工程</t>
  </si>
  <si>
    <t>风道系统单位风量耗功率</t>
  </si>
  <si>
    <t>DBJ 15-65-2021 23.2.2-2、4
按不同功能系统数量抽查10%，最少抽样数量不少于规范表3.4.3要求。</t>
  </si>
  <si>
    <t>系统</t>
  </si>
  <si>
    <t>系统总风量</t>
  </si>
  <si>
    <t>风口风量</t>
  </si>
  <si>
    <t>DBJ 15-65-2021 23.2.2-3；
按不同功能系统数量抽查10%，以单一系统风口数量为受检样本基数，最少抽样数量不少于规范表3.4.3要求。</t>
  </si>
  <si>
    <t>风管系统严密性（漏风量）</t>
  </si>
  <si>
    <t>DBJ 15-65-2021 14.2.4-3、4                              
按系统数量的10%抽检，且不得少于1个系统。</t>
  </si>
  <si>
    <t>配电与照明工程</t>
  </si>
  <si>
    <t>平均照度</t>
  </si>
  <si>
    <t>DBJ 15-65-2021 16.2.4、6
每种典型功能区检查不少于2处。</t>
  </si>
  <si>
    <t>处</t>
  </si>
  <si>
    <t>照明功率密度</t>
  </si>
  <si>
    <t>低压配电系统电源质量（供电电压偏差、功率因数、电压谐波总畸变率及谐波含有率、谐波电流、三相电压不平衡度）</t>
  </si>
  <si>
    <t>DBJ 15-65-2021 16.2.5
全部检测。</t>
  </si>
  <si>
    <t>灯具性能（光色参数、电参数）</t>
  </si>
  <si>
    <t>DBJ 15-65-2021 16.2.2、条文说明
同厂家的照明光源、灯具、照明设备，数量在200套及以下时抽检2套；201~2000套时抽检3套；2000套以上时每增加1000套应增加抽检1套。</t>
  </si>
  <si>
    <t>电线（低压配电系统）截面及每芯导体电阻值</t>
  </si>
  <si>
    <t>DBJ 15-65-2021 16.2.3                               同厂各种规格总数的10％，且不少于2个规格</t>
  </si>
  <si>
    <t>电缆（低压配电系统）截面及每芯导体电阻值</t>
  </si>
  <si>
    <t>绿色建筑工程</t>
  </si>
  <si>
    <t>隔墙空气声隔声性能</t>
  </si>
  <si>
    <t>DBJ 15-65-2021 23.1.5-3                            、GB 55016-2021 2.4.2                     每个单位工程每种构造不应少于1处。同工程项目、同施工单位且同期施工的多个单位工程，可合并计算建筑面积；每30000㎡可视为一个单位工程进行抽样，不足30000㎡也视为一个单位工程</t>
  </si>
  <si>
    <t>楼板空气声隔声性能</t>
  </si>
  <si>
    <t>楼板撞击声隔声性能</t>
  </si>
  <si>
    <t>室内噪声</t>
  </si>
  <si>
    <t>DBJ 15-65-2021 10.2.2、DBJ/T 15-234-2021 5.2.1、GB 50118-2010                          每种典型功能房间或场所抽检不应少于2处；室内面积不足30m2设置1个测点，30~100m2设置3个测点。</t>
  </si>
  <si>
    <t>点·次</t>
  </si>
  <si>
    <t>智能化检测投标报价工程量清单</t>
  </si>
  <si>
    <t>信息网络系统</t>
  </si>
  <si>
    <t>交换机网络性能</t>
  </si>
  <si>
    <t>DBJ/T 15-147-2018 11.3.1-3      应按接入层设备端口总数的5%进行检测，且不少于10条链路；少于10条链路时全检</t>
  </si>
  <si>
    <t>链路</t>
  </si>
  <si>
    <t>网络管理功能</t>
  </si>
  <si>
    <t>DBJ/T 15-147-2018 11.3.1-6；CECS 182:2005 5.2.2、5.2.11 网络设备应全数检测。</t>
  </si>
  <si>
    <t>综合布线系统</t>
  </si>
  <si>
    <t>光纤</t>
  </si>
  <si>
    <t>DBJ/T 15-147-2018 10.3.2       光纤布线应全部检测</t>
  </si>
  <si>
    <t>芯</t>
  </si>
  <si>
    <t>双绞线</t>
  </si>
  <si>
    <t>DBJ/T 15-147-2018 10.3.2                    对绞电缆布线链路抽样测试比例应不低于10%，抽样点应包括最远布线点</t>
  </si>
  <si>
    <t>条</t>
  </si>
  <si>
    <t>有线电视系统</t>
  </si>
  <si>
    <t>有线电视</t>
  </si>
  <si>
    <t>DBJ/T 15-147-2018 6.3.1        测试点数量不应少于系统输出端口数量的5%，测试点数不应少于20个。</t>
  </si>
  <si>
    <t>视频监控系统</t>
  </si>
  <si>
    <t>摄像头</t>
  </si>
  <si>
    <t>DBJ/T 15-147-2018 16.3.3                 摄像机抽检的数量应不低于20%，数量少于3台时应全部检测。各子系统功能全部检测。</t>
  </si>
  <si>
    <t>监控管理系统</t>
  </si>
  <si>
    <t>出/入口（门禁）管理系统</t>
  </si>
  <si>
    <t>门禁识别器</t>
  </si>
  <si>
    <t>DBJ/T 15-147-2018 16.3.3                 出入口控制器等设备抽检的数量应不低于20%，数量少于3台时应全部检测。各子系统功能全部检测。</t>
  </si>
  <si>
    <t>门禁管理系统</t>
  </si>
  <si>
    <t>入侵报警系统</t>
  </si>
  <si>
    <t>入侵探测器</t>
  </si>
  <si>
    <t>DBJ/T 15-147-2018 16.3.3                           探测器等设备抽检的数量应不低于20%，数量少于3台时应全部检测。各子系统功能全部检测。</t>
  </si>
  <si>
    <t>入侵报警管理系统</t>
  </si>
  <si>
    <t>电子巡查系统</t>
  </si>
  <si>
    <t>巡更点</t>
  </si>
  <si>
    <t>DBJ/T 15-147-2018 16.3.3                 巡查终端等设备抽检的数量应不低于20%，数量少于3台时应全部检测。各子系统功能全部检测。</t>
  </si>
  <si>
    <t>巡更管理系统</t>
  </si>
  <si>
    <t>停车场管理系统</t>
  </si>
  <si>
    <t>停车场出入口</t>
  </si>
  <si>
    <t>DBJ/T 15-147-2018 16.3.14；CECS 182:2005 8.7.2         停车场（库）管理系统应全数检测。</t>
  </si>
  <si>
    <t>访客对讲系统</t>
  </si>
  <si>
    <t>室内分机</t>
  </si>
  <si>
    <t>DBJ/T 15-147-2018 16.3.12-11；CECS 182:2005 13.3.2          除室内机按10％且不得少于10台抽检外，门口机、管理员机等应全数检测。</t>
  </si>
  <si>
    <t>门口分机</t>
  </si>
  <si>
    <t>管理员机</t>
  </si>
  <si>
    <t>对讲系统管理功能</t>
  </si>
  <si>
    <t>广播系统</t>
  </si>
  <si>
    <t>广播系统末端设备性能</t>
  </si>
  <si>
    <t>DBJ/T 15-147-2018 7.3.10         在其设计的广播覆盖范围内，对不同的功能区进行抽检，检测区域不少于3处，覆盖的扬声器数量不低于总数的10%</t>
  </si>
  <si>
    <t>区域</t>
  </si>
  <si>
    <t>广播系统功能</t>
  </si>
  <si>
    <t>DBJ/T 15-147-2018 7.8.3；CECS 182:2005 4.6.2                      主机设备应全数检测。</t>
  </si>
  <si>
    <t>信息引导及发布系统</t>
  </si>
  <si>
    <t>显示屏</t>
  </si>
  <si>
    <t>DBJ/T 15-147-2018 8.3.12     按各类显示终端数量的20%抽检，且不低于3台，低于3台全检。</t>
  </si>
  <si>
    <t>信息发布管理系统</t>
  </si>
  <si>
    <t>能源管理（远程抄表）系统</t>
  </si>
  <si>
    <t>智能电表</t>
  </si>
  <si>
    <t>DBJ/T 15-147-2018 14.3.6、8          计量装置的检测按各类计量装置数量的20%检测，且不低于3台，低于3台全检。</t>
  </si>
  <si>
    <t>智能水表</t>
  </si>
  <si>
    <t>能源管理系统</t>
  </si>
  <si>
    <t>建筑设备监控系统</t>
  </si>
  <si>
    <t>DBJ/T 15-147-2018 12.3.2、5    各类型现场控制器、传感器、执行器、空调、新风机组应按总数20%抽检，且不得小于5台。不足5台时应全部检测。</t>
  </si>
  <si>
    <t>空气质量传感器（PM10、CO等）</t>
  </si>
  <si>
    <t>机房工程系统</t>
  </si>
  <si>
    <t>机房环境工程</t>
  </si>
  <si>
    <t>DBJ/T 15-147-2018 19.3；CECS 182:2005 12.5.2              智能化系统机房应全数检测。</t>
  </si>
  <si>
    <t>间</t>
  </si>
  <si>
    <t>供电电源系统</t>
  </si>
  <si>
    <t>电源系统</t>
  </si>
  <si>
    <t>CECS 182:2005 11.2.2        稳压、稳流、不间断电源装置和蓄电池组和充电设备应全数检测</t>
  </si>
  <si>
    <t>接地系统</t>
  </si>
  <si>
    <t>DBJ/T 15-147-2018 20.3；CECS 182:2005 11.3.2             各智能化系统的防雷与接地应全数检测。</t>
  </si>
  <si>
    <t>通信设施</t>
  </si>
  <si>
    <t>光纤到户</t>
  </si>
  <si>
    <t>DBJ/T 15-147-2018 10.3.13       光纤到户链路应全数检测</t>
  </si>
  <si>
    <t>无线通信室内覆盖系统</t>
  </si>
  <si>
    <t>YD/T 5160-2015              按规范要求检测</t>
  </si>
  <si>
    <t>平方米(建筑面积)</t>
  </si>
  <si>
    <t>消防设施检测投标报价工程量清单</t>
  </si>
  <si>
    <t>建筑消防设施检测</t>
  </si>
  <si>
    <t>㎡</t>
  </si>
  <si>
    <t>消防材料检测投标报价工程量清单</t>
  </si>
  <si>
    <t>燃烧性能A级</t>
  </si>
  <si>
    <t>同厂家、同型号规格，抽取一组</t>
  </si>
  <si>
    <t>耐火试验</t>
  </si>
  <si>
    <t>燃烧性能B级</t>
  </si>
  <si>
    <t>防火门及相关配件</t>
  </si>
  <si>
    <t>耐火性能</t>
  </si>
  <si>
    <t>当使用耐火极限为乙级及以上等级防火门总数超过 50 樘时，同厂家宜随机选取一种型号、规格进行 1 次见证取样检验。当对特定型号规格的防火门质量存在异议时，宜进行 1 次见证取样检验。</t>
  </si>
  <si>
    <t>同厂家、同品种、同规格、同批次 ，至少复验 1 次。</t>
  </si>
  <si>
    <t>消防水带</t>
  </si>
  <si>
    <t>试验压力、最小爆破压力、附着强度</t>
  </si>
  <si>
    <t>消防水枪</t>
  </si>
  <si>
    <t>密封性能、耐水压强度</t>
  </si>
  <si>
    <t>室内消火栓</t>
  </si>
  <si>
    <t>水压强度、密封性能</t>
  </si>
  <si>
    <t>洒水喷头</t>
  </si>
  <si>
    <t>静态动作温度、水压密封和水压强度性能</t>
  </si>
  <si>
    <t>应急照明灯具</t>
  </si>
  <si>
    <t>基本功能试验、 充放电试验、恒定湿热试验</t>
  </si>
  <si>
    <r>
      <rPr>
        <b/>
        <sz val="16"/>
        <rFont val="宋体"/>
        <charset val="134"/>
        <scheme val="minor"/>
      </rPr>
      <t>幕墙</t>
    </r>
    <r>
      <rPr>
        <b/>
        <sz val="16"/>
        <rFont val="宋体"/>
        <charset val="134"/>
      </rPr>
      <t>门窗检测投标报价工程量清单</t>
    </r>
  </si>
  <si>
    <t>幕墙</t>
  </si>
  <si>
    <t>气密性、水密性、抗风压性能、层间变形性能</t>
  </si>
  <si>
    <t>幕墙面积大于300平米或处于临街、人群密集场所的幕墙必须进行四性检测，不同型式、不同构造或不同材质的幕墙应分别单独送检</t>
  </si>
  <si>
    <t>件</t>
  </si>
  <si>
    <t>门窗</t>
  </si>
  <si>
    <t>气密性、水密性、抗风压性能</t>
  </si>
  <si>
    <t>按规范要求，3件为1组。按同厂家、同材质、同开启方式、同型材系列的产品各抽查一次。同种规格每200件为一个送检单元（不足200件为一送检单元）</t>
  </si>
  <si>
    <t>硅酮结构密封胶</t>
  </si>
  <si>
    <t>不同厂家，不同型号，不同批次应分别送检，连续生产时每3吨为一批，不足3吨也为一批；间断生产时，每釜投料为一批。</t>
  </si>
  <si>
    <t>剥离粘结性</t>
  </si>
  <si>
    <t>邵氏硬度、拉伸粘结性</t>
  </si>
  <si>
    <t>硅酮耐候密封胶</t>
  </si>
  <si>
    <t>不同厂家，不同型号，不同批次应分别送检，连续生产时每3吨为一批，不足8吨也为一批；间断生产时，每釜投料为一批。</t>
  </si>
  <si>
    <t>拉伸模量、定伸粘结性、弹性恢复率</t>
  </si>
  <si>
    <t>防护栏杆</t>
  </si>
  <si>
    <t>抗水平荷载</t>
  </si>
  <si>
    <t>不同厂家、不同厚度、不同类别、不同安装方式的栏杆分别检测。</t>
  </si>
  <si>
    <t>抗软重物撞击性能</t>
  </si>
  <si>
    <t>建筑玻璃</t>
  </si>
  <si>
    <t>外观质量、表面应力、碎片状态</t>
  </si>
  <si>
    <t>不同厂家、不同厚度、不同类别的玻璃分别送检。</t>
  </si>
  <si>
    <t>抗冲击性</t>
  </si>
  <si>
    <t>市政实体检测投标报价工程量清单</t>
  </si>
  <si>
    <t>园建</t>
  </si>
  <si>
    <t>回填</t>
  </si>
  <si>
    <t>1000m2/3点</t>
  </si>
  <si>
    <t>路面</t>
  </si>
  <si>
    <t>厚度</t>
  </si>
  <si>
    <r>
      <rPr>
        <sz val="10"/>
        <color theme="1"/>
        <rFont val="宋体"/>
        <charset val="134"/>
      </rPr>
      <t>每1000m</t>
    </r>
    <r>
      <rPr>
        <vertAlign val="superscript"/>
        <sz val="10"/>
        <color theme="1"/>
        <rFont val="宋体"/>
        <charset val="134"/>
      </rPr>
      <t>2</t>
    </r>
    <r>
      <rPr>
        <sz val="10"/>
        <color theme="1"/>
        <rFont val="宋体"/>
        <charset val="134"/>
      </rPr>
      <t>检测1点</t>
    </r>
  </si>
  <si>
    <t>海绵城市</t>
  </si>
  <si>
    <t>渗水系数</t>
  </si>
  <si>
    <t>道路全长
间距200m检测1点</t>
  </si>
  <si>
    <t>土壤</t>
  </si>
  <si>
    <t>土壤渗透系数</t>
  </si>
  <si>
    <t>广东省绿色建筑检测标准DBJ/T234-2021  4.6.1 同一类型的透水铺装设施抽检不应少于2处。</t>
  </si>
  <si>
    <t>给排水工程</t>
  </si>
  <si>
    <t>轻型动力触探</t>
  </si>
  <si>
    <t>每200m2不应少于1孔，且不少于10孔；每个独立基础不少于1孔；基槽每20延米1孔，每孔预计2.1m</t>
  </si>
  <si>
    <t>1000m2/层/部位/3点</t>
  </si>
  <si>
    <t>CCTV</t>
  </si>
  <si>
    <t>300管以上全检</t>
  </si>
  <si>
    <t>闭水</t>
  </si>
  <si>
    <t>700管以上抽检1/3，其他全检</t>
  </si>
  <si>
    <t>水压试验</t>
  </si>
  <si>
    <t>预制井</t>
  </si>
  <si>
    <t>回弹</t>
  </si>
  <si>
    <t>30%构件数，不少于10个构件</t>
  </si>
  <si>
    <t>混凝土保护层厚度检测</t>
  </si>
  <si>
    <t>2%构件数，不少于5个构件</t>
  </si>
  <si>
    <t>道路工程</t>
  </si>
  <si>
    <t>沥青混合料配合比设计</t>
  </si>
  <si>
    <t>配合比设计</t>
  </si>
  <si>
    <t>每一配比一组</t>
  </si>
  <si>
    <t>黏层油粘层</t>
  </si>
  <si>
    <t>破乳速度、筛上剩余量、蒸发残留物、常温储存稳定性、粘度</t>
  </si>
  <si>
    <t>100T检测1组</t>
  </si>
  <si>
    <t>下封层（乳化沥青）</t>
  </si>
  <si>
    <t>透层油</t>
  </si>
  <si>
    <t>AC-9.5</t>
  </si>
  <si>
    <t>马歇尔密度、油石比及矿料级配、理论相对最大密度、沥青含量、车辙试验</t>
  </si>
  <si>
    <t>每品种每摊铺日抽检1组</t>
  </si>
  <si>
    <t>AC-16</t>
  </si>
  <si>
    <t>马歇尔密度、油石比及矿料级配、理论相对最大密度、沥青含量</t>
  </si>
  <si>
    <t>水稳层</t>
  </si>
  <si>
    <t>1000m2/点</t>
  </si>
  <si>
    <t>弯沉</t>
  </si>
  <si>
    <t>每车道每20米检测1点</t>
  </si>
  <si>
    <t>无侧限抗压强度</t>
  </si>
  <si>
    <t>2000m2/组</t>
  </si>
  <si>
    <t>机动车道</t>
  </si>
  <si>
    <t>平整度</t>
  </si>
  <si>
    <t>每20m检测3点</t>
  </si>
  <si>
    <t>宽度</t>
  </si>
  <si>
    <t>每40m检测1点</t>
  </si>
  <si>
    <t>纵断面高程</t>
  </si>
  <si>
    <t>每20m检测1点</t>
  </si>
  <si>
    <t>横坡</t>
  </si>
  <si>
    <t>每20m检测6点</t>
  </si>
  <si>
    <t>中线偏位</t>
  </si>
  <si>
    <t>每100m检测1点</t>
  </si>
  <si>
    <t>构造深度</t>
  </si>
  <si>
    <t>道路全长间距200m检测1点</t>
  </si>
  <si>
    <t>摩擦系数（抗滑性能)</t>
  </si>
  <si>
    <t>交通工程</t>
  </si>
  <si>
    <t>车道标线</t>
  </si>
  <si>
    <t>标线厚度</t>
  </si>
  <si>
    <t>测量范围小于或等于10km，3个100m核查区域，每个核查区域测10处</t>
  </si>
  <si>
    <t>反光标线逆反射系数</t>
  </si>
  <si>
    <t>基坑监测投标报价工程量清单</t>
  </si>
  <si>
    <t>一、监测项目</t>
  </si>
  <si>
    <t>埋设费</t>
  </si>
  <si>
    <t>监测基准点埋设</t>
  </si>
  <si>
    <t>墙顶、坡顶水平位移</t>
  </si>
  <si>
    <t>墙顶、坡顶竖向位移</t>
  </si>
  <si>
    <t>混凝土支撑轴力</t>
  </si>
  <si>
    <t>深层水平位移</t>
  </si>
  <si>
    <t>周边地表、管线、建筑物沉降</t>
  </si>
  <si>
    <t>地下水位</t>
  </si>
  <si>
    <t>锚索、内支撑轴力</t>
  </si>
  <si>
    <t>倾斜</t>
  </si>
  <si>
    <t>（一）小计（元）</t>
  </si>
  <si>
    <t>监测费</t>
  </si>
  <si>
    <t>点•次</t>
  </si>
  <si>
    <t>支撑轴力</t>
  </si>
  <si>
    <t>（二）小计（元）</t>
  </si>
  <si>
    <t>（三）监测技术费</t>
  </si>
  <si>
    <t>合计（一）+（二）+（三）</t>
  </si>
  <si>
    <t>主体沉降监测投标报价工程量清单</t>
  </si>
  <si>
    <t>收费 内容</t>
  </si>
  <si>
    <t>具体工作内容</t>
  </si>
  <si>
    <t>备  注</t>
  </si>
  <si>
    <t>材料费、埋设费</t>
  </si>
  <si>
    <t>基准点埋设</t>
  </si>
  <si>
    <t>主体沉降埋设</t>
  </si>
  <si>
    <t>基准网点联测费</t>
  </si>
  <si>
    <t>km</t>
  </si>
  <si>
    <t>沉降观测</t>
  </si>
  <si>
    <t>（三）观测技术费小计（元）</t>
  </si>
  <si>
    <t>高支模监测投标报价工程量清单</t>
  </si>
  <si>
    <t>收费内容</t>
  </si>
  <si>
    <t>水平位移</t>
  </si>
  <si>
    <t>竖向位移</t>
  </si>
  <si>
    <t>轴力</t>
  </si>
  <si>
    <t>倾角</t>
  </si>
  <si>
    <t>（三）监测技术费小计（元）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</si>
</sst>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_ \¥* #,##0.00_ ;_ \¥* \-#,##0.00_ ;_ \¥* &quot;-&quot;??_ ;_ @_ "/>
    <numFmt numFmtId="179" formatCode="000000"/>
    <numFmt numFmtId="180" formatCode="0_);[Red]\(0\)"/>
    <numFmt numFmtId="181" formatCode="0.00_);\(0.00\)"/>
    <numFmt numFmtId="182" formatCode="0.00;[Red]0.00"/>
    <numFmt numFmtId="183" formatCode="0_);\(0\)"/>
    <numFmt numFmtId="184" formatCode="#,##0.00_ "/>
  </numFmts>
  <fonts count="75">
    <font>
      <sz val="11"/>
      <color theme="1"/>
      <name val="宋体"/>
      <charset val="134"/>
      <scheme val="minor"/>
    </font>
    <font>
      <b/>
      <sz val="12"/>
      <name val="宋体"/>
      <charset val="134"/>
    </font>
    <font>
      <sz val="12"/>
      <name val="宋体"/>
      <charset val="134"/>
    </font>
    <font>
      <b/>
      <sz val="18"/>
      <name val="宋体"/>
      <charset val="134"/>
    </font>
    <font>
      <b/>
      <sz val="10"/>
      <color indexed="8"/>
      <name val="宋体"/>
      <charset val="134"/>
    </font>
    <font>
      <b/>
      <sz val="10"/>
      <name val="宋体"/>
      <charset val="134"/>
      <scheme val="minor"/>
    </font>
    <font>
      <sz val="10"/>
      <color indexed="8"/>
      <name val="宋体"/>
      <charset val="134"/>
    </font>
    <font>
      <sz val="10"/>
      <name val="宋体"/>
      <charset val="134"/>
      <scheme val="minor"/>
    </font>
    <font>
      <sz val="10"/>
      <color rgb="FF000000"/>
      <name val="宋体"/>
      <charset val="134"/>
    </font>
    <font>
      <b/>
      <sz val="10"/>
      <name val="宋体"/>
      <charset val="134"/>
    </font>
    <font>
      <b/>
      <sz val="10"/>
      <color theme="1"/>
      <name val="宋体"/>
      <charset val="134"/>
      <scheme val="minor"/>
    </font>
    <font>
      <sz val="10"/>
      <name val="宋体"/>
      <charset val="134"/>
    </font>
    <font>
      <b/>
      <sz val="16"/>
      <name val="宋体"/>
      <charset val="134"/>
    </font>
    <font>
      <sz val="10"/>
      <color theme="1"/>
      <name val="宋体"/>
      <charset val="134"/>
    </font>
    <font>
      <sz val="8"/>
      <name val="宋体"/>
      <charset val="134"/>
    </font>
    <font>
      <b/>
      <sz val="10"/>
      <color rgb="FF000000"/>
      <name val="宋体"/>
      <charset val="134"/>
    </font>
    <font>
      <b/>
      <sz val="16"/>
      <color theme="1"/>
      <name val="宋体"/>
      <charset val="134"/>
      <scheme val="minor"/>
    </font>
    <font>
      <b/>
      <sz val="12"/>
      <color theme="1"/>
      <name val="宋体"/>
      <charset val="134"/>
      <scheme val="minor"/>
    </font>
    <font>
      <sz val="10"/>
      <color theme="1"/>
      <name val="宋体"/>
      <charset val="134"/>
      <scheme val="minor"/>
    </font>
    <font>
      <b/>
      <sz val="16"/>
      <name val="宋体"/>
      <charset val="134"/>
      <scheme val="minor"/>
    </font>
    <font>
      <b/>
      <sz val="12"/>
      <name val="宋体"/>
      <charset val="134"/>
      <scheme val="minor"/>
    </font>
    <font>
      <sz val="11"/>
      <name val="宋体"/>
      <charset val="134"/>
    </font>
    <font>
      <sz val="16"/>
      <name val="宋体"/>
      <charset val="134"/>
    </font>
    <font>
      <sz val="11"/>
      <name val="宋体"/>
      <charset val="134"/>
      <scheme val="minor"/>
    </font>
    <font>
      <b/>
      <sz val="16"/>
      <name val="Times New Roman"/>
      <charset val="134"/>
    </font>
    <font>
      <sz val="10"/>
      <name val="Times New Roman"/>
      <charset val="134"/>
    </font>
    <font>
      <b/>
      <sz val="10"/>
      <name val="Times New Roman"/>
      <charset val="134"/>
    </font>
    <font>
      <sz val="9"/>
      <name val="宋体"/>
      <charset val="134"/>
      <scheme val="minor"/>
    </font>
    <font>
      <sz val="10"/>
      <color theme="1"/>
      <name val="宋体"/>
      <charset val="134"/>
      <scheme val="major"/>
    </font>
    <font>
      <sz val="10"/>
      <name val="宋体"/>
      <charset val="134"/>
      <scheme val="major"/>
    </font>
    <font>
      <sz val="10"/>
      <color theme="1"/>
      <name val="Times New Roman"/>
      <charset val="134"/>
    </font>
    <font>
      <b/>
      <sz val="10"/>
      <color theme="1"/>
      <name val="Times New Roman"/>
      <charset val="134"/>
    </font>
    <font>
      <b/>
      <u/>
      <sz val="18"/>
      <name val="宋体"/>
      <charset val="134"/>
    </font>
    <font>
      <b/>
      <sz val="18"/>
      <name val="Times New Roman"/>
      <charset val="134"/>
    </font>
    <font>
      <b/>
      <sz val="16"/>
      <color theme="1"/>
      <name val="宋体"/>
      <charset val="134"/>
    </font>
    <font>
      <b/>
      <sz val="16"/>
      <color theme="1"/>
      <name val="Times New Roman"/>
      <charset val="134"/>
    </font>
    <font>
      <b/>
      <sz val="12"/>
      <color theme="1"/>
      <name val="宋体"/>
      <charset val="134"/>
    </font>
    <font>
      <b/>
      <sz val="10"/>
      <color theme="1"/>
      <name val="宋体"/>
      <charset val="134"/>
    </font>
    <font>
      <sz val="10"/>
      <color indexed="8"/>
      <name val="宋体"/>
      <charset val="134"/>
      <scheme val="minor"/>
    </font>
    <font>
      <sz val="10"/>
      <color rgb="FF000000"/>
      <name val="宋体"/>
      <charset val="134"/>
      <scheme val="minor"/>
    </font>
    <font>
      <sz val="10"/>
      <color theme="1"/>
      <name val="SimSun"/>
      <charset val="134"/>
    </font>
    <font>
      <sz val="12"/>
      <color theme="1"/>
      <name val="宋体"/>
      <charset val="134"/>
      <scheme val="minor"/>
    </font>
    <font>
      <b/>
      <sz val="20"/>
      <color theme="1"/>
      <name val="宋体"/>
      <charset val="134"/>
    </font>
    <font>
      <sz val="12"/>
      <color theme="1"/>
      <name val="宋体"/>
      <charset val="134"/>
    </font>
    <font>
      <b/>
      <sz val="11"/>
      <color theme="1"/>
      <name val="宋体"/>
      <charset val="134"/>
    </font>
    <font>
      <sz val="9"/>
      <color theme="1"/>
      <name val="宋体"/>
      <charset val="134"/>
      <scheme val="minor"/>
    </font>
    <font>
      <b/>
      <sz val="20"/>
      <name val="宋体"/>
      <charset val="134"/>
    </font>
    <font>
      <b/>
      <sz val="22"/>
      <name val="宋体"/>
      <charset val="134"/>
    </font>
    <font>
      <b/>
      <sz val="36"/>
      <name val="宋体"/>
      <charset val="134"/>
    </font>
    <font>
      <b/>
      <sz val="14"/>
      <name val="宋体"/>
      <charset val="134"/>
    </font>
    <font>
      <sz val="14"/>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vertAlign val="superscript"/>
      <sz val="10"/>
      <color theme="1"/>
      <name val="宋体"/>
      <charset val="134"/>
    </font>
    <font>
      <b/>
      <sz val="9"/>
      <name val="宋体"/>
      <charset val="134"/>
    </font>
    <font>
      <sz val="9"/>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1"/>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theme="1"/>
      </left>
      <right/>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0" fillId="5" borderId="14" applyNumberFormat="0" applyFon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15" applyNumberFormat="0" applyFill="0" applyAlignment="0" applyProtection="0">
      <alignment vertical="center"/>
    </xf>
    <xf numFmtId="0" fontId="58" fillId="0" borderId="15" applyNumberFormat="0" applyFill="0" applyAlignment="0" applyProtection="0">
      <alignment vertical="center"/>
    </xf>
    <xf numFmtId="0" fontId="59" fillId="0" borderId="16" applyNumberFormat="0" applyFill="0" applyAlignment="0" applyProtection="0">
      <alignment vertical="center"/>
    </xf>
    <xf numFmtId="0" fontId="59" fillId="0" borderId="0" applyNumberFormat="0" applyFill="0" applyBorder="0" applyAlignment="0" applyProtection="0">
      <alignment vertical="center"/>
    </xf>
    <xf numFmtId="0" fontId="60" fillId="6" borderId="17" applyNumberFormat="0" applyAlignment="0" applyProtection="0">
      <alignment vertical="center"/>
    </xf>
    <xf numFmtId="0" fontId="61" fillId="7" borderId="18" applyNumberFormat="0" applyAlignment="0" applyProtection="0">
      <alignment vertical="center"/>
    </xf>
    <xf numFmtId="0" fontId="62" fillId="7" borderId="17" applyNumberFormat="0" applyAlignment="0" applyProtection="0">
      <alignment vertical="center"/>
    </xf>
    <xf numFmtId="0" fontId="63" fillId="8" borderId="19" applyNumberFormat="0" applyAlignment="0" applyProtection="0">
      <alignment vertical="center"/>
    </xf>
    <xf numFmtId="0" fontId="64" fillId="0" borderId="20" applyNumberFormat="0" applyFill="0" applyAlignment="0" applyProtection="0">
      <alignment vertical="center"/>
    </xf>
    <xf numFmtId="0" fontId="65" fillId="0" borderId="21" applyNumberFormat="0" applyFill="0" applyAlignment="0" applyProtection="0">
      <alignment vertical="center"/>
    </xf>
    <xf numFmtId="0" fontId="66" fillId="9" borderId="0" applyNumberFormat="0" applyBorder="0" applyAlignment="0" applyProtection="0">
      <alignment vertical="center"/>
    </xf>
    <xf numFmtId="0" fontId="67" fillId="10" borderId="0" applyNumberFormat="0" applyBorder="0" applyAlignment="0" applyProtection="0">
      <alignment vertical="center"/>
    </xf>
    <xf numFmtId="0" fontId="68" fillId="11" borderId="0" applyNumberFormat="0" applyBorder="0" applyAlignment="0" applyProtection="0">
      <alignment vertical="center"/>
    </xf>
    <xf numFmtId="0" fontId="69" fillId="12" borderId="0" applyNumberFormat="0" applyBorder="0" applyAlignment="0" applyProtection="0">
      <alignment vertical="center"/>
    </xf>
    <xf numFmtId="0" fontId="70" fillId="13" borderId="0" applyNumberFormat="0" applyBorder="0" applyAlignment="0" applyProtection="0">
      <alignment vertical="center"/>
    </xf>
    <xf numFmtId="0" fontId="70" fillId="14" borderId="0" applyNumberFormat="0" applyBorder="0" applyAlignment="0" applyProtection="0">
      <alignment vertical="center"/>
    </xf>
    <xf numFmtId="0" fontId="69" fillId="15" borderId="0" applyNumberFormat="0" applyBorder="0" applyAlignment="0" applyProtection="0">
      <alignment vertical="center"/>
    </xf>
    <xf numFmtId="0" fontId="69" fillId="16" borderId="0" applyNumberFormat="0" applyBorder="0" applyAlignment="0" applyProtection="0">
      <alignment vertical="center"/>
    </xf>
    <xf numFmtId="0" fontId="70" fillId="17" borderId="0" applyNumberFormat="0" applyBorder="0" applyAlignment="0" applyProtection="0">
      <alignment vertical="center"/>
    </xf>
    <xf numFmtId="0" fontId="70" fillId="18" borderId="0" applyNumberFormat="0" applyBorder="0" applyAlignment="0" applyProtection="0">
      <alignment vertical="center"/>
    </xf>
    <xf numFmtId="0" fontId="69" fillId="19" borderId="0" applyNumberFormat="0" applyBorder="0" applyAlignment="0" applyProtection="0">
      <alignment vertical="center"/>
    </xf>
    <xf numFmtId="0" fontId="69" fillId="20" borderId="0" applyNumberFormat="0" applyBorder="0" applyAlignment="0" applyProtection="0">
      <alignment vertical="center"/>
    </xf>
    <xf numFmtId="0" fontId="70" fillId="21" borderId="0" applyNumberFormat="0" applyBorder="0" applyAlignment="0" applyProtection="0">
      <alignment vertical="center"/>
    </xf>
    <xf numFmtId="0" fontId="70" fillId="22" borderId="0" applyNumberFormat="0" applyBorder="0" applyAlignment="0" applyProtection="0">
      <alignment vertical="center"/>
    </xf>
    <xf numFmtId="0" fontId="69" fillId="23" borderId="0" applyNumberFormat="0" applyBorder="0" applyAlignment="0" applyProtection="0">
      <alignment vertical="center"/>
    </xf>
    <xf numFmtId="0" fontId="69" fillId="24" borderId="0" applyNumberFormat="0" applyBorder="0" applyAlignment="0" applyProtection="0">
      <alignment vertical="center"/>
    </xf>
    <xf numFmtId="0" fontId="70" fillId="25" borderId="0" applyNumberFormat="0" applyBorder="0" applyAlignment="0" applyProtection="0">
      <alignment vertical="center"/>
    </xf>
    <xf numFmtId="0" fontId="70" fillId="26" borderId="0" applyNumberFormat="0" applyBorder="0" applyAlignment="0" applyProtection="0">
      <alignment vertical="center"/>
    </xf>
    <xf numFmtId="0" fontId="69" fillId="27" borderId="0" applyNumberFormat="0" applyBorder="0" applyAlignment="0" applyProtection="0">
      <alignment vertical="center"/>
    </xf>
    <xf numFmtId="0" fontId="69" fillId="28" borderId="0" applyNumberFormat="0" applyBorder="0" applyAlignment="0" applyProtection="0">
      <alignment vertical="center"/>
    </xf>
    <xf numFmtId="0" fontId="70" fillId="29" borderId="0" applyNumberFormat="0" applyBorder="0" applyAlignment="0" applyProtection="0">
      <alignment vertical="center"/>
    </xf>
    <xf numFmtId="0" fontId="70" fillId="30" borderId="0" applyNumberFormat="0" applyBorder="0" applyAlignment="0" applyProtection="0">
      <alignment vertical="center"/>
    </xf>
    <xf numFmtId="0" fontId="69" fillId="31" borderId="0" applyNumberFormat="0" applyBorder="0" applyAlignment="0" applyProtection="0">
      <alignment vertical="center"/>
    </xf>
    <xf numFmtId="0" fontId="69" fillId="32" borderId="0" applyNumberFormat="0" applyBorder="0" applyAlignment="0" applyProtection="0">
      <alignment vertical="center"/>
    </xf>
    <xf numFmtId="0" fontId="70" fillId="33" borderId="0" applyNumberFormat="0" applyBorder="0" applyAlignment="0" applyProtection="0">
      <alignment vertical="center"/>
    </xf>
    <xf numFmtId="0" fontId="70" fillId="34" borderId="0" applyNumberFormat="0" applyBorder="0" applyAlignment="0" applyProtection="0">
      <alignment vertical="center"/>
    </xf>
    <xf numFmtId="0" fontId="69" fillId="35" borderId="0" applyNumberFormat="0" applyBorder="0" applyAlignment="0" applyProtection="0">
      <alignment vertical="center"/>
    </xf>
    <xf numFmtId="0" fontId="45" fillId="0" borderId="0"/>
    <xf numFmtId="0" fontId="2" fillId="0" borderId="0">
      <alignment vertical="center"/>
    </xf>
    <xf numFmtId="0" fontId="2" fillId="0" borderId="0"/>
    <xf numFmtId="0" fontId="2" fillId="0" borderId="0">
      <alignment vertical="center"/>
    </xf>
    <xf numFmtId="0" fontId="0" fillId="0" borderId="0">
      <alignment vertical="center"/>
    </xf>
    <xf numFmtId="0" fontId="71" fillId="0" borderId="0">
      <alignment vertical="center"/>
    </xf>
    <xf numFmtId="0" fontId="71" fillId="0" borderId="0">
      <alignment vertical="center"/>
    </xf>
    <xf numFmtId="0" fontId="0" fillId="0" borderId="0">
      <alignment vertical="center"/>
    </xf>
    <xf numFmtId="0" fontId="71" fillId="0" borderId="0">
      <alignment vertical="center"/>
    </xf>
    <xf numFmtId="0" fontId="71" fillId="0" borderId="0">
      <protection locked="0"/>
    </xf>
    <xf numFmtId="0" fontId="2" fillId="0" borderId="0">
      <alignment vertical="center"/>
    </xf>
    <xf numFmtId="0" fontId="51" fillId="0" borderId="0">
      <protection locked="0"/>
    </xf>
    <xf numFmtId="0" fontId="2" fillId="0" borderId="0">
      <alignment vertical="center"/>
    </xf>
    <xf numFmtId="0" fontId="2" fillId="0" borderId="0"/>
  </cellStyleXfs>
  <cellXfs count="354">
    <xf numFmtId="0" fontId="0" fillId="0" borderId="0" xfId="0"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176" fontId="2" fillId="0" borderId="0" xfId="0" applyNumberFormat="1" applyFont="1" applyAlignment="1">
      <alignment vertical="center"/>
    </xf>
    <xf numFmtId="0" fontId="3" fillId="0" borderId="0" xfId="62" applyFont="1" applyAlignment="1">
      <alignment horizontal="center" vertical="center" wrapText="1"/>
    </xf>
    <xf numFmtId="176" fontId="3" fillId="0" borderId="0" xfId="62" applyNumberFormat="1" applyFont="1" applyAlignment="1">
      <alignment horizontal="center" vertical="center" wrapText="1"/>
    </xf>
    <xf numFmtId="0" fontId="1" fillId="0" borderId="0" xfId="62" applyFont="1" applyAlignment="1">
      <alignment horizontal="left" vertical="center" wrapText="1"/>
    </xf>
    <xf numFmtId="176" fontId="1" fillId="0" borderId="0" xfId="62" applyNumberFormat="1" applyFont="1" applyAlignment="1">
      <alignment horizontal="left" vertical="center" wrapText="1"/>
    </xf>
    <xf numFmtId="0" fontId="4" fillId="0" borderId="1" xfId="61" applyFont="1" applyBorder="1" applyAlignment="1">
      <alignment horizontal="center" vertical="center" wrapText="1"/>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6" fillId="0" borderId="1" xfId="61" applyFont="1" applyBorder="1" applyAlignment="1">
      <alignment horizontal="center" vertical="center" wrapText="1"/>
    </xf>
    <xf numFmtId="176" fontId="6" fillId="0" borderId="1" xfId="61" applyNumberFormat="1" applyFont="1" applyBorder="1" applyAlignment="1">
      <alignment horizontal="center" vertical="center" wrapText="1"/>
    </xf>
    <xf numFmtId="43" fontId="7" fillId="0" borderId="1" xfId="0" applyNumberFormat="1" applyFont="1" applyBorder="1" applyAlignment="1">
      <alignment horizontal="center" vertical="center"/>
    </xf>
    <xf numFmtId="0" fontId="4" fillId="0" borderId="2" xfId="61" applyFont="1" applyBorder="1" applyAlignment="1">
      <alignment horizontal="center" vertical="center" wrapText="1"/>
    </xf>
    <xf numFmtId="0" fontId="4" fillId="0" borderId="3" xfId="61" applyFont="1" applyBorder="1" applyAlignment="1">
      <alignment horizontal="center" vertical="center" wrapText="1"/>
    </xf>
    <xf numFmtId="176" fontId="4" fillId="0" borderId="3" xfId="61" applyNumberFormat="1" applyFont="1" applyBorder="1" applyAlignment="1">
      <alignment horizontal="center" vertical="center" wrapText="1"/>
    </xf>
    <xf numFmtId="0" fontId="4" fillId="0" borderId="4" xfId="61" applyFont="1" applyBorder="1" applyAlignment="1">
      <alignment horizontal="center" vertical="center" wrapText="1"/>
    </xf>
    <xf numFmtId="43" fontId="1" fillId="0" borderId="1" xfId="0" applyNumberFormat="1" applyFont="1" applyBorder="1" applyAlignment="1">
      <alignment vertical="center"/>
    </xf>
    <xf numFmtId="0" fontId="8" fillId="0" borderId="1" xfId="61" applyFont="1" applyBorder="1" applyAlignment="1">
      <alignment horizontal="center" vertical="center" wrapText="1"/>
    </xf>
    <xf numFmtId="0" fontId="2" fillId="0" borderId="1" xfId="0" applyFont="1" applyBorder="1" applyAlignment="1">
      <alignment vertical="center"/>
    </xf>
    <xf numFmtId="0" fontId="9" fillId="0" borderId="2" xfId="62" applyFont="1" applyBorder="1" applyAlignment="1">
      <alignment horizontal="center" vertical="center"/>
    </xf>
    <xf numFmtId="0" fontId="9" fillId="0" borderId="3" xfId="62" applyFont="1" applyBorder="1" applyAlignment="1">
      <alignment horizontal="center" vertical="center"/>
    </xf>
    <xf numFmtId="176" fontId="9" fillId="0" borderId="3" xfId="62" applyNumberFormat="1" applyFont="1" applyBorder="1" applyAlignment="1">
      <alignment horizontal="center" vertical="center"/>
    </xf>
    <xf numFmtId="0" fontId="9" fillId="0" borderId="4" xfId="62"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176" fontId="10"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 fillId="0" borderId="1" xfId="0" applyFont="1" applyBorder="1" applyAlignment="1">
      <alignment vertical="center"/>
    </xf>
    <xf numFmtId="0" fontId="11" fillId="0" borderId="1" xfId="0" applyFont="1" applyBorder="1" applyAlignment="1">
      <alignment horizontal="center" vertical="center" wrapText="1"/>
    </xf>
    <xf numFmtId="0" fontId="4" fillId="0" borderId="1" xfId="61" applyFont="1" applyBorder="1" applyAlignment="1">
      <alignment vertical="center" wrapText="1"/>
    </xf>
    <xf numFmtId="0" fontId="12" fillId="0" borderId="0" xfId="62" applyFont="1" applyAlignment="1">
      <alignment horizontal="center" vertical="center" wrapText="1"/>
    </xf>
    <xf numFmtId="176" fontId="12" fillId="0" borderId="0" xfId="62" applyNumberFormat="1" applyFont="1" applyAlignment="1">
      <alignment horizontal="center" vertical="center" wrapText="1"/>
    </xf>
    <xf numFmtId="43" fontId="6" fillId="0" borderId="1" xfId="61" applyNumberFormat="1" applyFont="1" applyBorder="1" applyAlignment="1">
      <alignment vertical="center" wrapText="1"/>
    </xf>
    <xf numFmtId="176" fontId="4" fillId="0" borderId="1" xfId="61" applyNumberFormat="1" applyFont="1" applyBorder="1" applyAlignment="1">
      <alignment horizontal="center" vertical="center" wrapText="1"/>
    </xf>
    <xf numFmtId="176" fontId="6" fillId="2" borderId="1" xfId="61" applyNumberFormat="1" applyFont="1" applyFill="1" applyBorder="1" applyAlignment="1">
      <alignment horizontal="center" vertical="center" wrapText="1"/>
    </xf>
    <xf numFmtId="0" fontId="9" fillId="0" borderId="1" xfId="62" applyFont="1" applyBorder="1" applyAlignment="1">
      <alignment horizontal="center" vertical="center"/>
    </xf>
    <xf numFmtId="176" fontId="9" fillId="0" borderId="1" xfId="62" applyNumberFormat="1" applyFont="1" applyBorder="1" applyAlignment="1">
      <alignment horizontal="center" vertical="center"/>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vertical="center" wrapText="1"/>
    </xf>
    <xf numFmtId="0" fontId="15" fillId="0" borderId="1" xfId="61" applyFont="1" applyBorder="1" applyAlignment="1">
      <alignment vertical="center" wrapText="1"/>
    </xf>
    <xf numFmtId="9" fontId="9" fillId="0" borderId="1" xfId="62" applyNumberFormat="1" applyFont="1" applyBorder="1" applyAlignment="1">
      <alignment horizontal="center" vertical="center"/>
    </xf>
    <xf numFmtId="0" fontId="8" fillId="0" borderId="1" xfId="61" applyFont="1" applyBorder="1" applyAlignment="1">
      <alignment vertical="center" wrapText="1"/>
    </xf>
    <xf numFmtId="0" fontId="16" fillId="0" borderId="0" xfId="59" applyFont="1" applyAlignment="1">
      <alignment horizontal="center" vertical="center" wrapText="1"/>
    </xf>
    <xf numFmtId="176" fontId="16" fillId="0" borderId="0" xfId="59" applyNumberFormat="1" applyFont="1" applyAlignment="1">
      <alignment horizontal="center" vertical="center" wrapText="1"/>
    </xf>
    <xf numFmtId="0" fontId="17" fillId="0" borderId="0" xfId="59" applyFont="1" applyAlignment="1">
      <alignment horizontal="left" vertical="center" wrapText="1"/>
    </xf>
    <xf numFmtId="176" fontId="17" fillId="0" borderId="0" xfId="59" applyNumberFormat="1" applyFont="1" applyAlignment="1">
      <alignment horizontal="left" vertical="center" wrapText="1"/>
    </xf>
    <xf numFmtId="0" fontId="4" fillId="0" borderId="1" xfId="59" applyFont="1" applyBorder="1" applyAlignment="1">
      <alignment horizontal="center" vertical="center" wrapText="1"/>
    </xf>
    <xf numFmtId="0" fontId="18" fillId="0" borderId="1" xfId="0" applyFont="1" applyBorder="1" applyAlignment="1">
      <alignment horizontal="center" vertical="center" wrapText="1"/>
    </xf>
    <xf numFmtId="176" fontId="11" fillId="0" borderId="1" xfId="0" applyNumberFormat="1" applyFont="1" applyBorder="1" applyAlignment="1">
      <alignment horizontal="center" vertical="center"/>
    </xf>
    <xf numFmtId="43" fontId="11" fillId="0" borderId="1" xfId="0" applyNumberFormat="1" applyFont="1" applyBorder="1" applyAlignment="1">
      <alignment horizontal="center" vertical="center"/>
    </xf>
    <xf numFmtId="176" fontId="18" fillId="0" borderId="1" xfId="0" applyNumberFormat="1" applyFont="1" applyBorder="1" applyAlignment="1">
      <alignment horizontal="center" vertical="center" wrapText="1"/>
    </xf>
    <xf numFmtId="43" fontId="10"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xf>
    <xf numFmtId="0" fontId="9" fillId="0" borderId="5" xfId="0" applyFont="1" applyBorder="1" applyAlignment="1">
      <alignment horizontal="center" vertical="center"/>
    </xf>
    <xf numFmtId="0" fontId="11" fillId="0" borderId="1" xfId="0" applyFont="1" applyBorder="1" applyAlignment="1">
      <alignment vertical="center" wrapText="1"/>
    </xf>
    <xf numFmtId="0" fontId="11" fillId="0" borderId="1" xfId="0" applyFont="1" applyBorder="1" applyAlignment="1">
      <alignment vertical="center"/>
    </xf>
    <xf numFmtId="9" fontId="5" fillId="0" borderId="1" xfId="3" applyFont="1" applyFill="1" applyBorder="1" applyAlignment="1">
      <alignment horizontal="center" vertical="center"/>
    </xf>
    <xf numFmtId="0" fontId="18" fillId="0" borderId="0" xfId="0" applyFont="1" applyAlignment="1">
      <alignment vertical="center"/>
    </xf>
    <xf numFmtId="0" fontId="18" fillId="0" borderId="0" xfId="0" applyFont="1" applyAlignment="1">
      <alignment vertical="center" wrapText="1"/>
    </xf>
    <xf numFmtId="0" fontId="16" fillId="0" borderId="6" xfId="0" applyFont="1" applyBorder="1" applyAlignment="1">
      <alignment horizontal="center" vertical="center" wrapText="1"/>
    </xf>
    <xf numFmtId="0" fontId="16" fillId="0" borderId="0" xfId="0" applyFont="1" applyAlignment="1">
      <alignment horizontal="center" vertical="center" wrapText="1"/>
    </xf>
    <xf numFmtId="0" fontId="17" fillId="0" borderId="6" xfId="0" applyFont="1" applyBorder="1" applyAlignment="1">
      <alignment horizontal="left" vertical="center" wrapText="1"/>
    </xf>
    <xf numFmtId="0" fontId="17" fillId="0" borderId="0" xfId="0" applyFont="1" applyAlignment="1">
      <alignment horizontal="left" vertical="center" wrapText="1"/>
    </xf>
    <xf numFmtId="0" fontId="13" fillId="2" borderId="1" xfId="0"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177" fontId="18" fillId="0" borderId="1" xfId="0" applyNumberFormat="1" applyFont="1" applyBorder="1" applyAlignment="1">
      <alignment horizontal="center" vertical="center"/>
    </xf>
    <xf numFmtId="0" fontId="11" fillId="2" borderId="8" xfId="0" applyFont="1" applyFill="1" applyBorder="1" applyAlignment="1">
      <alignment horizontal="center" vertical="center" wrapText="1"/>
    </xf>
    <xf numFmtId="0" fontId="11" fillId="2" borderId="7" xfId="50" applyFont="1" applyFill="1" applyBorder="1" applyAlignment="1">
      <alignment horizontal="center" vertical="center" wrapText="1"/>
    </xf>
    <xf numFmtId="0" fontId="11" fillId="2" borderId="1" xfId="52" applyFont="1" applyFill="1" applyBorder="1" applyAlignment="1">
      <alignment horizontal="center" vertical="center" wrapText="1"/>
    </xf>
    <xf numFmtId="0" fontId="13" fillId="2" borderId="1" xfId="52" applyFont="1" applyFill="1" applyBorder="1" applyAlignment="1">
      <alignment horizontal="center" vertical="center" wrapText="1"/>
    </xf>
    <xf numFmtId="0" fontId="11" fillId="2" borderId="1" xfId="50" applyFont="1" applyFill="1" applyBorder="1" applyAlignment="1">
      <alignment horizontal="center" vertical="center" wrapText="1"/>
    </xf>
    <xf numFmtId="0" fontId="6" fillId="2" borderId="1"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0" borderId="10" xfId="0" applyFont="1" applyBorder="1" applyAlignment="1">
      <alignment horizontal="center" vertical="center"/>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3" fillId="0" borderId="0" xfId="0" applyFont="1" applyAlignment="1">
      <alignment horizontal="center" vertical="center"/>
    </xf>
    <xf numFmtId="0" fontId="11" fillId="0" borderId="1" xfId="50" applyFont="1" applyBorder="1" applyAlignment="1">
      <alignment horizontal="center" vertical="center" wrapText="1"/>
    </xf>
    <xf numFmtId="0" fontId="13" fillId="0" borderId="11" xfId="0" applyFont="1" applyBorder="1" applyAlignment="1">
      <alignment horizontal="center" vertical="center"/>
    </xf>
    <xf numFmtId="0" fontId="11" fillId="0" borderId="1" xfId="60" applyFont="1" applyBorder="1" applyAlignment="1" applyProtection="1">
      <alignment horizontal="center" vertical="center" wrapText="1"/>
    </xf>
    <xf numFmtId="0" fontId="8" fillId="0" borderId="1" xfId="58" applyFont="1" applyBorder="1" applyAlignment="1" applyProtection="1">
      <alignment horizontal="center" vertical="center" wrapText="1"/>
    </xf>
    <xf numFmtId="0" fontId="11" fillId="0" borderId="7" xfId="0" applyFont="1" applyBorder="1" applyAlignment="1">
      <alignment horizontal="center" vertical="center"/>
    </xf>
    <xf numFmtId="0" fontId="11" fillId="0" borderId="1" xfId="51" applyFont="1" applyBorder="1" applyAlignment="1">
      <alignment horizontal="center" vertical="center" wrapText="1"/>
    </xf>
    <xf numFmtId="178" fontId="11" fillId="0" borderId="1" xfId="2" applyNumberFormat="1" applyFont="1" applyFill="1" applyBorder="1" applyAlignment="1" applyProtection="1">
      <alignment horizontal="center" vertical="center" wrapText="1"/>
    </xf>
    <xf numFmtId="0" fontId="11" fillId="0" borderId="8"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8" fillId="0" borderId="1" xfId="0" applyFont="1" applyBorder="1" applyAlignment="1">
      <alignment horizontal="center" vertical="center"/>
    </xf>
    <xf numFmtId="43" fontId="10" fillId="0" borderId="1" xfId="0" applyNumberFormat="1" applyFont="1" applyBorder="1" applyAlignment="1">
      <alignment vertical="center"/>
    </xf>
    <xf numFmtId="0" fontId="10" fillId="0" borderId="1" xfId="0" applyFont="1" applyBorder="1" applyAlignment="1">
      <alignment vertical="center"/>
    </xf>
    <xf numFmtId="0" fontId="10" fillId="0" borderId="1" xfId="0" applyFont="1" applyBorder="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19" fillId="0" borderId="7" xfId="0" applyFont="1" applyBorder="1" applyAlignment="1">
      <alignment horizontal="center" vertical="center" wrapText="1"/>
    </xf>
    <xf numFmtId="0" fontId="20" fillId="0" borderId="0" xfId="0" applyFont="1" applyAlignment="1">
      <alignment horizontal="left" vertical="center" wrapText="1"/>
    </xf>
    <xf numFmtId="177" fontId="5" fillId="0" borderId="1" xfId="0" applyNumberFormat="1" applyFont="1" applyBorder="1" applyAlignment="1">
      <alignment horizontal="center" vertical="center" wrapText="1"/>
    </xf>
    <xf numFmtId="177" fontId="5" fillId="2" borderId="1" xfId="0" applyNumberFormat="1" applyFont="1" applyFill="1" applyBorder="1" applyAlignment="1">
      <alignment horizontal="center" vertical="center" wrapText="1"/>
    </xf>
    <xf numFmtId="179" fontId="7" fillId="2" borderId="1" xfId="56" applyNumberFormat="1" applyFont="1" applyFill="1" applyBorder="1" applyAlignment="1">
      <alignment horizontal="center" vertical="center" wrapText="1"/>
    </xf>
    <xf numFmtId="0" fontId="7" fillId="2" borderId="1" xfId="56" applyFont="1" applyFill="1" applyBorder="1" applyAlignment="1">
      <alignment horizontal="center" vertical="center" wrapText="1"/>
    </xf>
    <xf numFmtId="0" fontId="7" fillId="2" borderId="1" xfId="56" applyFont="1" applyFill="1" applyBorder="1" applyAlignment="1">
      <alignment vertical="center" wrapText="1"/>
    </xf>
    <xf numFmtId="176" fontId="11" fillId="2" borderId="1" xfId="57" applyNumberFormat="1" applyFont="1" applyFill="1" applyBorder="1" applyAlignment="1">
      <alignment horizontal="center" vertical="center" wrapText="1"/>
    </xf>
    <xf numFmtId="177" fontId="7" fillId="0" borderId="1" xfId="0" applyNumberFormat="1" applyFont="1" applyBorder="1" applyAlignment="1">
      <alignment horizontal="center" vertical="center"/>
    </xf>
    <xf numFmtId="177" fontId="11" fillId="2" borderId="1" xfId="57" applyNumberFormat="1" applyFont="1" applyFill="1" applyBorder="1" applyAlignment="1">
      <alignment horizontal="center" vertical="center" wrapText="1"/>
    </xf>
    <xf numFmtId="0" fontId="11" fillId="2" borderId="1" xfId="56" applyFont="1" applyFill="1" applyBorder="1" applyAlignment="1">
      <alignment vertical="center" wrapText="1"/>
    </xf>
    <xf numFmtId="177" fontId="18"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0" fontId="11" fillId="0" borderId="12" xfId="0" applyFont="1" applyBorder="1" applyAlignment="1">
      <alignment horizontal="center" vertical="center"/>
    </xf>
    <xf numFmtId="0" fontId="7" fillId="2" borderId="8" xfId="56" applyFont="1" applyFill="1" applyBorder="1" applyAlignment="1">
      <alignment horizontal="center" vertical="center" wrapText="1"/>
    </xf>
    <xf numFmtId="177" fontId="18" fillId="0" borderId="8" xfId="0" applyNumberFormat="1" applyFont="1" applyBorder="1" applyAlignment="1">
      <alignment horizontal="left" vertical="center" wrapText="1"/>
    </xf>
    <xf numFmtId="176" fontId="11" fillId="2" borderId="8" xfId="57" applyNumberFormat="1" applyFont="1" applyFill="1" applyBorder="1" applyAlignment="1">
      <alignment horizontal="center" vertical="center" wrapText="1"/>
    </xf>
    <xf numFmtId="176" fontId="18" fillId="0" borderId="8" xfId="0" applyNumberFormat="1" applyFont="1" applyBorder="1" applyAlignment="1">
      <alignment horizontal="center" vertical="center" wrapText="1"/>
    </xf>
    <xf numFmtId="179" fontId="7" fillId="2" borderId="7" xfId="56" applyNumberFormat="1" applyFont="1" applyFill="1" applyBorder="1" applyAlignment="1">
      <alignment horizontal="center" vertical="center" wrapText="1"/>
    </xf>
    <xf numFmtId="0" fontId="7" fillId="2" borderId="1" xfId="56" applyFont="1" applyFill="1" applyBorder="1" applyAlignment="1">
      <alignment horizontal="center" vertical="center"/>
    </xf>
    <xf numFmtId="179" fontId="7" fillId="2" borderId="8" xfId="56" applyNumberFormat="1" applyFont="1" applyFill="1" applyBorder="1" applyAlignment="1">
      <alignment horizontal="center" vertical="center" wrapText="1"/>
    </xf>
    <xf numFmtId="0" fontId="11" fillId="2" borderId="9" xfId="56" applyFont="1" applyFill="1" applyBorder="1" applyAlignment="1">
      <alignment vertical="center" wrapText="1"/>
    </xf>
    <xf numFmtId="0" fontId="7" fillId="2" borderId="7" xfId="56" applyFont="1" applyFill="1" applyBorder="1" applyAlignment="1">
      <alignment horizontal="center" vertical="center" wrapText="1"/>
    </xf>
    <xf numFmtId="0" fontId="18" fillId="0" borderId="7" xfId="0" applyFont="1" applyBorder="1" applyAlignment="1">
      <alignment horizontal="center" vertical="center" wrapText="1"/>
    </xf>
    <xf numFmtId="176" fontId="18" fillId="0" borderId="7" xfId="0" applyNumberFormat="1" applyFont="1" applyBorder="1" applyAlignment="1">
      <alignment horizontal="center" vertical="center" wrapText="1"/>
    </xf>
    <xf numFmtId="177" fontId="18" fillId="0" borderId="7" xfId="0" applyNumberFormat="1" applyFont="1" applyBorder="1" applyAlignment="1">
      <alignment horizontal="center" vertical="center"/>
    </xf>
    <xf numFmtId="177" fontId="11" fillId="2" borderId="7" xfId="57" applyNumberFormat="1" applyFont="1" applyFill="1" applyBorder="1" applyAlignment="1">
      <alignment horizontal="center" vertical="center" wrapText="1"/>
    </xf>
    <xf numFmtId="0" fontId="9" fillId="0" borderId="1" xfId="0" applyFont="1" applyBorder="1" applyAlignment="1">
      <alignment horizontal="center" vertical="center"/>
    </xf>
    <xf numFmtId="0" fontId="19" fillId="0" borderId="7" xfId="0" applyFont="1" applyBorder="1" applyAlignment="1">
      <alignment horizontal="left" vertical="center" wrapText="1"/>
    </xf>
    <xf numFmtId="0" fontId="7" fillId="0" borderId="1" xfId="0" applyFont="1" applyBorder="1" applyAlignment="1">
      <alignment horizontal="center" vertical="center"/>
    </xf>
    <xf numFmtId="0" fontId="7" fillId="2" borderId="1" xfId="56" applyFont="1" applyFill="1" applyBorder="1" applyAlignment="1">
      <alignment horizontal="left" vertical="center" wrapText="1"/>
    </xf>
    <xf numFmtId="0" fontId="18" fillId="0" borderId="7" xfId="0" applyFont="1" applyBorder="1" applyAlignment="1">
      <alignment horizontal="center" vertical="center"/>
    </xf>
    <xf numFmtId="0" fontId="7" fillId="2" borderId="7" xfId="56" applyFont="1" applyFill="1" applyBorder="1" applyAlignment="1">
      <alignment horizontal="left" vertical="center" wrapText="1"/>
    </xf>
    <xf numFmtId="0" fontId="7" fillId="2" borderId="1" xfId="0" applyFont="1" applyFill="1" applyBorder="1" applyAlignment="1">
      <alignment vertical="center" wrapText="1"/>
    </xf>
    <xf numFmtId="177" fontId="7" fillId="0" borderId="1" xfId="0" applyNumberFormat="1" applyFont="1" applyBorder="1" applyAlignment="1">
      <alignment horizontal="left" vertical="center" wrapText="1"/>
    </xf>
    <xf numFmtId="0" fontId="21" fillId="0" borderId="0" xfId="0" applyFont="1" applyAlignment="1">
      <alignment vertical="center"/>
    </xf>
    <xf numFmtId="0" fontId="21" fillId="0" borderId="0" xfId="0" applyFont="1" applyAlignment="1">
      <alignment horizontal="center" vertical="center"/>
    </xf>
    <xf numFmtId="0" fontId="12" fillId="0" borderId="7" xfId="0" applyFont="1" applyBorder="1" applyAlignment="1">
      <alignment horizontal="center" vertical="center" wrapText="1"/>
    </xf>
    <xf numFmtId="0" fontId="1" fillId="0" borderId="0" xfId="0" applyFont="1" applyAlignment="1">
      <alignment horizontal="left" vertical="center" wrapText="1"/>
    </xf>
    <xf numFmtId="0" fontId="11" fillId="0" borderId="1" xfId="0" applyFont="1" applyBorder="1" applyAlignment="1">
      <alignment horizontal="left" vertical="center" wrapText="1"/>
    </xf>
    <xf numFmtId="176" fontId="11" fillId="0" borderId="1" xfId="0" applyNumberFormat="1" applyFont="1" applyBorder="1" applyAlignment="1">
      <alignment horizontal="center" vertical="center" wrapText="1"/>
    </xf>
    <xf numFmtId="177" fontId="11" fillId="0" borderId="1" xfId="0" applyNumberFormat="1" applyFont="1" applyBorder="1" applyAlignment="1">
      <alignment horizontal="center" vertical="center" wrapText="1"/>
    </xf>
    <xf numFmtId="180" fontId="11" fillId="0" borderId="1" xfId="0" applyNumberFormat="1" applyFont="1" applyBorder="1" applyAlignment="1">
      <alignment horizontal="center" vertical="center" wrapText="1"/>
    </xf>
    <xf numFmtId="177" fontId="11" fillId="0" borderId="1" xfId="0" applyNumberFormat="1"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43" fontId="9" fillId="0" borderId="1" xfId="0" applyNumberFormat="1" applyFont="1" applyBorder="1" applyAlignment="1">
      <alignment horizontal="center" vertical="center" wrapText="1"/>
    </xf>
    <xf numFmtId="177" fontId="2" fillId="0" borderId="0" xfId="0" applyNumberFormat="1" applyFont="1" applyAlignment="1">
      <alignment vertical="center"/>
    </xf>
    <xf numFmtId="0" fontId="12" fillId="0" borderId="0" xfId="0" applyFont="1" applyAlignment="1">
      <alignment horizontal="center" vertical="center"/>
    </xf>
    <xf numFmtId="177" fontId="12" fillId="0" borderId="0" xfId="0" applyNumberFormat="1" applyFont="1" applyAlignment="1">
      <alignment horizontal="center" vertical="center"/>
    </xf>
    <xf numFmtId="0" fontId="10" fillId="0" borderId="1" xfId="0" applyFont="1" applyBorder="1" applyAlignment="1">
      <alignment horizontal="center" vertical="center"/>
    </xf>
    <xf numFmtId="43" fontId="9" fillId="0" borderId="1" xfId="0" applyNumberFormat="1" applyFont="1" applyBorder="1" applyAlignment="1">
      <alignment vertical="center"/>
    </xf>
    <xf numFmtId="177" fontId="11" fillId="0" borderId="1" xfId="0" applyNumberFormat="1" applyFont="1" applyBorder="1" applyAlignment="1">
      <alignment vertical="center"/>
    </xf>
    <xf numFmtId="177" fontId="9" fillId="0" borderId="1" xfId="0" applyNumberFormat="1" applyFont="1" applyBorder="1" applyAlignment="1">
      <alignment vertical="center"/>
    </xf>
    <xf numFmtId="0" fontId="7" fillId="0" borderId="1" xfId="0" applyFont="1" applyBorder="1" applyAlignment="1">
      <alignment vertical="center" wrapText="1"/>
    </xf>
    <xf numFmtId="0" fontId="11" fillId="0" borderId="0" xfId="0" applyFont="1" applyAlignment="1">
      <alignment horizontal="center" vertical="center"/>
    </xf>
    <xf numFmtId="0" fontId="22" fillId="0" borderId="0" xfId="0" applyFont="1" applyAlignment="1">
      <alignment horizontal="center" vertical="center"/>
    </xf>
    <xf numFmtId="0" fontId="1" fillId="0" borderId="0" xfId="0" applyFont="1" applyAlignment="1">
      <alignment horizontal="left" vertical="center"/>
    </xf>
    <xf numFmtId="0" fontId="5" fillId="0" borderId="1" xfId="59" applyFont="1" applyBorder="1" applyAlignment="1">
      <alignment horizontal="center" vertical="center" wrapText="1"/>
    </xf>
    <xf numFmtId="0" fontId="7" fillId="0" borderId="1" xfId="51" applyFont="1" applyBorder="1" applyAlignment="1">
      <alignment horizontal="center" vertical="center" wrapText="1"/>
    </xf>
    <xf numFmtId="0" fontId="7" fillId="0" borderId="13" xfId="0" applyFont="1" applyBorder="1" applyAlignment="1">
      <alignment horizontal="center" vertical="center" wrapText="1"/>
    </xf>
    <xf numFmtId="0" fontId="7" fillId="0" borderId="1" xfId="0" applyFont="1" applyBorder="1" applyAlignment="1">
      <alignment horizontal="center" vertical="center" wrapText="1"/>
    </xf>
    <xf numFmtId="177" fontId="13" fillId="0" borderId="1" xfId="0" applyNumberFormat="1" applyFont="1" applyBorder="1" applyAlignment="1">
      <alignment horizontal="center" vertical="center"/>
    </xf>
    <xf numFmtId="177" fontId="7" fillId="0" borderId="1"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7" xfId="51" applyFont="1" applyBorder="1" applyAlignment="1">
      <alignment horizontal="center" vertical="center" wrapText="1"/>
    </xf>
    <xf numFmtId="0" fontId="11" fillId="0" borderId="9" xfId="0" applyFont="1" applyBorder="1" applyAlignment="1">
      <alignment horizontal="center" vertical="center" wrapText="1"/>
    </xf>
    <xf numFmtId="0" fontId="7" fillId="0" borderId="9" xfId="51" applyFont="1" applyBorder="1" applyAlignment="1">
      <alignment horizontal="center" vertical="center" wrapText="1"/>
    </xf>
    <xf numFmtId="0" fontId="7" fillId="0" borderId="7" xfId="0" applyFont="1" applyBorder="1" applyAlignment="1">
      <alignment horizontal="center" vertical="center" wrapText="1"/>
    </xf>
    <xf numFmtId="177" fontId="13" fillId="0" borderId="7" xfId="0" applyNumberFormat="1" applyFont="1" applyBorder="1" applyAlignment="1">
      <alignment horizontal="center" vertical="center"/>
    </xf>
    <xf numFmtId="177" fontId="7" fillId="0" borderId="7" xfId="0" applyNumberFormat="1" applyFont="1" applyBorder="1" applyAlignment="1">
      <alignment horizontal="center" vertical="center" wrapText="1"/>
    </xf>
    <xf numFmtId="43" fontId="10" fillId="0" borderId="1" xfId="0" applyNumberFormat="1" applyFont="1" applyBorder="1" applyAlignment="1">
      <alignment horizontal="center" vertical="center"/>
    </xf>
    <xf numFmtId="0" fontId="5" fillId="0" borderId="1" xfId="0" applyFont="1" applyBorder="1" applyAlignment="1">
      <alignment horizontal="center" vertical="center"/>
    </xf>
    <xf numFmtId="0" fontId="11" fillId="0" borderId="0" xfId="0" applyFont="1" applyAlignment="1">
      <alignment vertical="center"/>
    </xf>
    <xf numFmtId="0" fontId="13" fillId="0" borderId="7" xfId="0" applyFont="1" applyBorder="1" applyAlignment="1">
      <alignment horizontal="center" vertical="center" wrapText="1"/>
    </xf>
    <xf numFmtId="0" fontId="7" fillId="0" borderId="0" xfId="0" applyFont="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left" vertical="center"/>
    </xf>
    <xf numFmtId="0" fontId="23" fillId="0" borderId="0" xfId="0" applyFont="1" applyAlignment="1">
      <alignment vertical="center"/>
    </xf>
    <xf numFmtId="0" fontId="1" fillId="0" borderId="0" xfId="0" applyFont="1" applyAlignment="1">
      <alignment horizontal="center" vertical="center"/>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18" fillId="0" borderId="1" xfId="0" applyFont="1" applyBorder="1" applyAlignment="1">
      <alignment horizontal="left" vertical="center"/>
    </xf>
    <xf numFmtId="0" fontId="7" fillId="0" borderId="1" xfId="0" applyFont="1" applyBorder="1" applyAlignment="1">
      <alignment vertical="center"/>
    </xf>
    <xf numFmtId="0" fontId="10" fillId="0" borderId="0" xfId="0" applyFont="1" applyAlignment="1">
      <alignment vertical="center"/>
    </xf>
    <xf numFmtId="0" fontId="24"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11" fillId="0" borderId="8" xfId="0" applyFont="1" applyBorder="1" applyAlignment="1">
      <alignment horizontal="center" vertical="center" wrapText="1"/>
    </xf>
    <xf numFmtId="0" fontId="18" fillId="0" borderId="8" xfId="0" applyFont="1" applyBorder="1" applyAlignment="1">
      <alignment horizontal="center" vertical="center"/>
    </xf>
    <xf numFmtId="0" fontId="25" fillId="0" borderId="1" xfId="0" applyFont="1" applyBorder="1" applyAlignment="1">
      <alignment horizontal="center" vertical="center" wrapText="1"/>
    </xf>
    <xf numFmtId="43" fontId="26" fillId="0" borderId="1" xfId="0" applyNumberFormat="1" applyFont="1" applyBorder="1" applyAlignment="1">
      <alignment horizontal="center" vertical="center"/>
    </xf>
    <xf numFmtId="177" fontId="25" fillId="0" borderId="8" xfId="0" applyNumberFormat="1" applyFont="1" applyBorder="1" applyAlignment="1">
      <alignment horizontal="center" vertical="center" wrapText="1"/>
    </xf>
    <xf numFmtId="0" fontId="18" fillId="0" borderId="8" xfId="0" applyFont="1" applyBorder="1" applyAlignment="1">
      <alignment horizontal="center" vertical="center" wrapText="1"/>
    </xf>
    <xf numFmtId="177" fontId="25" fillId="0" borderId="1" xfId="0" applyNumberFormat="1" applyFont="1" applyBorder="1" applyAlignment="1">
      <alignment horizontal="center" vertical="center" wrapText="1"/>
    </xf>
    <xf numFmtId="0" fontId="25" fillId="0" borderId="1" xfId="0" applyFont="1" applyBorder="1" applyAlignment="1">
      <alignment horizontal="center" vertical="center"/>
    </xf>
    <xf numFmtId="0" fontId="24" fillId="0" borderId="7" xfId="0" applyFont="1" applyBorder="1" applyAlignment="1">
      <alignment horizontal="left" vertical="center" wrapText="1"/>
    </xf>
    <xf numFmtId="179" fontId="7" fillId="0" borderId="1" xfId="56" applyNumberFormat="1" applyFont="1" applyBorder="1" applyAlignment="1">
      <alignment horizontal="center" vertical="center" wrapText="1"/>
    </xf>
    <xf numFmtId="0" fontId="7" fillId="0" borderId="1" xfId="56" applyFont="1" applyBorder="1" applyAlignment="1">
      <alignment horizontal="center" vertical="center" wrapText="1"/>
    </xf>
    <xf numFmtId="0" fontId="11" fillId="0" borderId="1" xfId="56" applyFont="1" applyBorder="1" applyAlignment="1">
      <alignment horizontal="center" vertical="center" wrapText="1"/>
    </xf>
    <xf numFmtId="177" fontId="25" fillId="0" borderId="1" xfId="0" applyNumberFormat="1" applyFont="1" applyBorder="1" applyAlignment="1">
      <alignment horizontal="center" vertical="center"/>
    </xf>
    <xf numFmtId="0" fontId="11" fillId="2" borderId="1" xfId="56" applyFont="1" applyFill="1" applyBorder="1" applyAlignment="1">
      <alignment horizontal="center" vertical="center" wrapText="1"/>
    </xf>
    <xf numFmtId="0" fontId="11" fillId="2" borderId="7" xfId="0" applyFont="1" applyFill="1" applyBorder="1" applyAlignment="1">
      <alignment horizontal="center" vertical="center"/>
    </xf>
    <xf numFmtId="0" fontId="25" fillId="2" borderId="7" xfId="0" applyFont="1" applyFill="1" applyBorder="1" applyAlignment="1">
      <alignment horizontal="center" vertical="center"/>
    </xf>
    <xf numFmtId="0" fontId="9"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43" fontId="26" fillId="0" borderId="1" xfId="0" applyNumberFormat="1" applyFont="1" applyBorder="1" applyAlignment="1">
      <alignment vertical="center"/>
    </xf>
    <xf numFmtId="0" fontId="18" fillId="0" borderId="1" xfId="0" applyFont="1" applyBorder="1" applyAlignment="1">
      <alignment vertical="center"/>
    </xf>
    <xf numFmtId="0" fontId="25" fillId="0" borderId="1" xfId="0" applyFont="1" applyBorder="1" applyAlignment="1">
      <alignment vertical="center"/>
    </xf>
    <xf numFmtId="0" fontId="3" fillId="0" borderId="7" xfId="0" applyFont="1" applyBorder="1" applyAlignment="1">
      <alignment horizontal="center" vertical="center" wrapText="1"/>
    </xf>
    <xf numFmtId="179" fontId="27" fillId="0" borderId="1" xfId="56" applyNumberFormat="1" applyFont="1" applyBorder="1" applyAlignment="1">
      <alignment horizontal="center" vertical="center" wrapText="1"/>
    </xf>
    <xf numFmtId="0" fontId="18" fillId="0" borderId="1" xfId="53" applyFont="1" applyBorder="1" applyAlignment="1">
      <alignment horizontal="left" vertical="center" wrapText="1"/>
    </xf>
    <xf numFmtId="177" fontId="0" fillId="0" borderId="1" xfId="0" applyNumberForma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0" fillId="0" borderId="1" xfId="0" applyBorder="1" applyAlignment="1">
      <alignment horizontal="center" vertical="center" wrapText="1"/>
    </xf>
    <xf numFmtId="0" fontId="26" fillId="0" borderId="1" xfId="0" applyFont="1" applyBorder="1" applyAlignment="1">
      <alignment vertical="center"/>
    </xf>
    <xf numFmtId="0" fontId="26" fillId="0" borderId="1" xfId="0" applyFont="1" applyBorder="1" applyAlignment="1">
      <alignment horizontal="center" vertical="center"/>
    </xf>
    <xf numFmtId="0" fontId="18" fillId="0" borderId="0" xfId="0" applyFont="1" applyAlignment="1">
      <alignment horizontal="center" vertical="center"/>
    </xf>
    <xf numFmtId="177" fontId="3" fillId="0" borderId="7" xfId="0" applyNumberFormat="1" applyFont="1" applyBorder="1" applyAlignment="1">
      <alignment horizontal="center" vertical="center" wrapText="1"/>
    </xf>
    <xf numFmtId="177" fontId="1" fillId="0" borderId="0" xfId="0" applyNumberFormat="1" applyFont="1" applyAlignment="1">
      <alignment horizontal="left" vertical="center" wrapText="1"/>
    </xf>
    <xf numFmtId="0" fontId="9"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7" xfId="0" applyFont="1" applyBorder="1" applyAlignment="1">
      <alignment horizontal="center" vertical="center" wrapText="1"/>
    </xf>
    <xf numFmtId="0" fontId="25" fillId="0" borderId="9" xfId="0" applyFont="1" applyBorder="1" applyAlignment="1">
      <alignment horizontal="center" vertical="center" wrapText="1"/>
    </xf>
    <xf numFmtId="177" fontId="28"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177" fontId="29" fillId="0" borderId="1" xfId="0" applyNumberFormat="1" applyFont="1" applyBorder="1" applyAlignment="1">
      <alignment horizontal="center" vertical="center" wrapText="1"/>
    </xf>
    <xf numFmtId="49" fontId="29"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11" fillId="0" borderId="9" xfId="0" applyFont="1" applyBorder="1" applyAlignment="1">
      <alignment horizontal="center" vertical="center"/>
    </xf>
    <xf numFmtId="0" fontId="29" fillId="0" borderId="4" xfId="0" applyFont="1" applyBorder="1" applyAlignment="1">
      <alignment horizontal="center" vertical="center" wrapText="1"/>
    </xf>
    <xf numFmtId="0" fontId="25" fillId="2" borderId="9"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0" borderId="7" xfId="0" applyFont="1" applyBorder="1" applyAlignment="1" applyProtection="1">
      <alignment horizontal="center" vertical="center" wrapText="1"/>
      <protection locked="0"/>
    </xf>
    <xf numFmtId="0" fontId="11" fillId="0" borderId="3" xfId="0" applyFont="1" applyBorder="1" applyAlignment="1">
      <alignment horizontal="center" vertical="center"/>
    </xf>
    <xf numFmtId="0" fontId="11" fillId="0" borderId="4" xfId="0" applyFont="1" applyBorder="1" applyAlignment="1">
      <alignment horizontal="center" vertical="center"/>
    </xf>
    <xf numFmtId="43" fontId="26" fillId="0" borderId="1" xfId="0" applyNumberFormat="1" applyFont="1" applyBorder="1" applyAlignment="1">
      <alignment horizontal="center" vertical="center" wrapText="1"/>
    </xf>
    <xf numFmtId="0" fontId="30" fillId="0" borderId="1" xfId="0" applyFont="1" applyBorder="1" applyAlignment="1">
      <alignment horizontal="center" vertical="center"/>
    </xf>
    <xf numFmtId="0" fontId="31" fillId="0" borderId="1" xfId="0" applyFont="1" applyBorder="1" applyAlignment="1">
      <alignment horizontal="center" vertical="center"/>
    </xf>
    <xf numFmtId="0" fontId="3" fillId="2" borderId="0" xfId="0" applyFont="1" applyFill="1" applyAlignment="1">
      <alignment horizontal="center" vertical="center" wrapText="1"/>
    </xf>
    <xf numFmtId="0" fontId="1" fillId="2" borderId="0" xfId="0" applyFont="1" applyFill="1" applyAlignment="1">
      <alignment horizontal="left" vertical="center" wrapText="1"/>
    </xf>
    <xf numFmtId="0" fontId="9"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177" fontId="25" fillId="2" borderId="1" xfId="0" applyNumberFormat="1" applyFont="1" applyFill="1" applyBorder="1" applyAlignment="1">
      <alignment horizontal="center" vertical="center" wrapText="1"/>
    </xf>
    <xf numFmtId="177" fontId="25" fillId="2" borderId="9" xfId="0" applyNumberFormat="1" applyFont="1" applyFill="1" applyBorder="1" applyAlignment="1">
      <alignment horizontal="center" vertical="center" wrapText="1"/>
    </xf>
    <xf numFmtId="43" fontId="26" fillId="2" borderId="1" xfId="0" applyNumberFormat="1" applyFont="1" applyFill="1" applyBorder="1" applyAlignment="1">
      <alignment horizontal="center" vertical="center" wrapText="1"/>
    </xf>
    <xf numFmtId="181" fontId="25" fillId="2" borderId="1" xfId="0" applyNumberFormat="1" applyFont="1" applyFill="1" applyBorder="1" applyAlignment="1">
      <alignment horizontal="center" vertical="center" wrapText="1"/>
    </xf>
    <xf numFmtId="0" fontId="32" fillId="2" borderId="0" xfId="0" applyFont="1" applyFill="1" applyAlignment="1">
      <alignment vertical="center" wrapText="1"/>
    </xf>
    <xf numFmtId="0" fontId="33" fillId="2" borderId="0" xfId="0" applyFont="1" applyFill="1" applyAlignment="1">
      <alignment horizontal="center" vertical="center" wrapText="1"/>
    </xf>
    <xf numFmtId="0" fontId="33" fillId="2" borderId="0" xfId="0" applyFont="1" applyFill="1" applyAlignment="1">
      <alignment horizontal="left" vertical="center" wrapText="1"/>
    </xf>
    <xf numFmtId="0" fontId="25" fillId="2" borderId="1" xfId="0" applyFont="1" applyFill="1" applyBorder="1" applyAlignment="1">
      <alignment horizontal="justify" vertical="center" wrapText="1"/>
    </xf>
    <xf numFmtId="0" fontId="11" fillId="2" borderId="1" xfId="0" applyFont="1" applyFill="1" applyBorder="1" applyAlignment="1">
      <alignment horizontal="justify" vertical="center" wrapText="1"/>
    </xf>
    <xf numFmtId="176" fontId="7" fillId="0" borderId="1" xfId="0" applyNumberFormat="1" applyFont="1" applyBorder="1" applyAlignment="1">
      <alignment horizontal="justify" vertical="center" wrapText="1"/>
    </xf>
    <xf numFmtId="0" fontId="11" fillId="0" borderId="1" xfId="0" applyFont="1" applyBorder="1" applyAlignment="1">
      <alignment horizontal="justify" vertical="center" wrapText="1"/>
    </xf>
    <xf numFmtId="181" fontId="11" fillId="2" borderId="1" xfId="0" applyNumberFormat="1" applyFont="1" applyFill="1" applyBorder="1" applyAlignment="1">
      <alignment horizontal="center" vertical="center" wrapText="1"/>
    </xf>
    <xf numFmtId="0" fontId="18" fillId="0" borderId="1" xfId="0" applyFont="1" applyBorder="1" applyAlignment="1">
      <alignment vertical="center" wrapText="1"/>
    </xf>
    <xf numFmtId="181" fontId="11" fillId="0" borderId="1" xfId="0" applyNumberFormat="1" applyFont="1" applyBorder="1" applyAlignment="1">
      <alignment horizontal="center" vertical="center" wrapText="1"/>
    </xf>
    <xf numFmtId="0" fontId="34" fillId="0" borderId="0" xfId="0" applyFont="1" applyAlignment="1">
      <alignment horizontal="center" vertical="center" wrapText="1"/>
    </xf>
    <xf numFmtId="0" fontId="35" fillId="0" borderId="0" xfId="0" applyFont="1" applyAlignment="1">
      <alignment horizontal="center" vertical="center" wrapText="1"/>
    </xf>
    <xf numFmtId="0" fontId="36" fillId="0" borderId="0" xfId="0" applyFont="1" applyAlignment="1">
      <alignment horizontal="left" vertical="center" wrapText="1"/>
    </xf>
    <xf numFmtId="0" fontId="37"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9"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26" fillId="0" borderId="1" xfId="0" applyFont="1" applyBorder="1" applyAlignment="1">
      <alignment horizontal="center" vertical="center" wrapText="1"/>
    </xf>
    <xf numFmtId="177" fontId="35" fillId="0" borderId="0" xfId="0" applyNumberFormat="1" applyFont="1" applyAlignment="1">
      <alignment horizontal="center" vertical="center" wrapText="1"/>
    </xf>
    <xf numFmtId="177" fontId="30" fillId="0" borderId="1" xfId="0" applyNumberFormat="1" applyFont="1" applyBorder="1" applyAlignment="1">
      <alignment horizontal="center" vertical="center" wrapText="1"/>
    </xf>
    <xf numFmtId="182" fontId="11" fillId="0" borderId="1" xfId="0" applyNumberFormat="1" applyFont="1" applyBorder="1" applyAlignment="1">
      <alignment horizontal="center" vertical="center"/>
    </xf>
    <xf numFmtId="0" fontId="11" fillId="3" borderId="1" xfId="0" applyFont="1" applyFill="1" applyBorder="1" applyAlignment="1">
      <alignment horizontal="center" vertical="center" wrapText="1"/>
    </xf>
    <xf numFmtId="0" fontId="7" fillId="0" borderId="0" xfId="0" applyFont="1" applyAlignment="1">
      <alignment vertical="center"/>
    </xf>
    <xf numFmtId="0" fontId="8" fillId="4" borderId="1" xfId="0" applyFont="1" applyFill="1" applyBorder="1" applyAlignment="1">
      <alignment horizontal="center" vertical="center" wrapText="1"/>
    </xf>
    <xf numFmtId="177" fontId="8" fillId="4" borderId="1" xfId="0" applyNumberFormat="1" applyFont="1" applyFill="1" applyBorder="1" applyAlignment="1">
      <alignment horizontal="center" vertical="center" wrapText="1"/>
    </xf>
    <xf numFmtId="181" fontId="18" fillId="0" borderId="1" xfId="0" applyNumberFormat="1" applyFont="1" applyBorder="1" applyAlignment="1">
      <alignment horizontal="center" vertical="center" wrapText="1"/>
    </xf>
    <xf numFmtId="0" fontId="38" fillId="2"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7" xfId="0" applyFont="1" applyBorder="1" applyAlignment="1">
      <alignment vertical="center" wrapText="1"/>
    </xf>
    <xf numFmtId="176" fontId="7" fillId="0" borderId="1" xfId="57" applyNumberFormat="1" applyFont="1" applyBorder="1" applyAlignment="1">
      <alignment horizontal="center" vertical="center" wrapText="1"/>
    </xf>
    <xf numFmtId="179" fontId="7" fillId="0" borderId="1" xfId="0" applyNumberFormat="1" applyFont="1" applyBorder="1" applyAlignment="1">
      <alignment horizontal="center" vertical="center" wrapText="1"/>
    </xf>
    <xf numFmtId="180" fontId="18" fillId="0" borderId="1" xfId="0" applyNumberFormat="1" applyFont="1" applyBorder="1" applyAlignment="1">
      <alignment horizontal="center" vertical="center" wrapText="1"/>
    </xf>
    <xf numFmtId="0" fontId="39" fillId="0" borderId="1" xfId="0" applyFont="1" applyBorder="1" applyAlignment="1">
      <alignment vertical="center" wrapText="1"/>
    </xf>
    <xf numFmtId="180" fontId="7"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8" fillId="0" borderId="1" xfId="0" applyFont="1" applyBorder="1" applyAlignment="1">
      <alignment horizontal="center" vertical="center" wrapText="1"/>
    </xf>
    <xf numFmtId="0" fontId="38" fillId="4" borderId="1" xfId="0" applyFont="1" applyFill="1" applyBorder="1" applyAlignment="1">
      <alignment vertical="center" wrapText="1"/>
    </xf>
    <xf numFmtId="0" fontId="7" fillId="2" borderId="1" xfId="0" applyFont="1" applyFill="1" applyBorder="1" applyAlignment="1">
      <alignment horizontal="center" vertical="center" wrapText="1"/>
    </xf>
    <xf numFmtId="0" fontId="39" fillId="2" borderId="1" xfId="0" applyFont="1" applyFill="1" applyBorder="1" applyAlignment="1">
      <alignment horizontal="center" vertical="center" wrapText="1"/>
    </xf>
    <xf numFmtId="0" fontId="40" fillId="0" borderId="1" xfId="0" applyFont="1" applyBorder="1" applyAlignment="1">
      <alignment horizontal="center" vertical="center" wrapText="1"/>
    </xf>
    <xf numFmtId="0" fontId="13" fillId="0" borderId="1" xfId="0" applyFont="1" applyBorder="1" applyAlignment="1">
      <alignment horizontal="left" vertical="center" wrapText="1"/>
    </xf>
    <xf numFmtId="183" fontId="11" fillId="0" borderId="1" xfId="0" applyNumberFormat="1" applyFont="1" applyBorder="1" applyAlignment="1">
      <alignment horizontal="center" vertical="center" wrapText="1"/>
    </xf>
    <xf numFmtId="177" fontId="11" fillId="4" borderId="1" xfId="0" applyNumberFormat="1" applyFont="1" applyFill="1" applyBorder="1" applyAlignment="1">
      <alignment horizontal="center" vertical="center" wrapText="1"/>
    </xf>
    <xf numFmtId="0" fontId="30" fillId="0" borderId="1" xfId="0" applyFont="1" applyBorder="1" applyAlignment="1">
      <alignment vertical="center"/>
    </xf>
    <xf numFmtId="0" fontId="25" fillId="0" borderId="1" xfId="0" applyFont="1" applyBorder="1" applyAlignment="1">
      <alignment vertical="center" wrapText="1"/>
    </xf>
    <xf numFmtId="177" fontId="8" fillId="0" borderId="1" xfId="0" applyNumberFormat="1" applyFont="1" applyBorder="1" applyAlignment="1">
      <alignment horizontal="center" vertical="center" wrapText="1"/>
    </xf>
    <xf numFmtId="0" fontId="41" fillId="0" borderId="0" xfId="0" applyFont="1" applyAlignment="1">
      <alignment vertical="center"/>
    </xf>
    <xf numFmtId="0" fontId="17" fillId="0" borderId="0" xfId="0" applyFont="1" applyAlignment="1">
      <alignment vertical="center"/>
    </xf>
    <xf numFmtId="0" fontId="0" fillId="0" borderId="0" xfId="0" applyAlignment="1">
      <alignment vertical="center" wrapText="1"/>
    </xf>
    <xf numFmtId="177" fontId="0" fillId="0" borderId="0" xfId="0" applyNumberFormat="1" applyAlignment="1">
      <alignment vertical="center" wrapText="1"/>
    </xf>
    <xf numFmtId="0" fontId="16" fillId="0" borderId="11" xfId="0" applyFont="1" applyBorder="1" applyAlignment="1">
      <alignment horizontal="center" vertical="center" wrapText="1"/>
    </xf>
    <xf numFmtId="177" fontId="16" fillId="0" borderId="11" xfId="0" applyNumberFormat="1" applyFont="1" applyBorder="1" applyAlignment="1">
      <alignment horizontal="center" vertical="center" wrapText="1"/>
    </xf>
    <xf numFmtId="0" fontId="17" fillId="0" borderId="1" xfId="0" applyFont="1" applyBorder="1" applyAlignment="1">
      <alignment horizontal="center" vertical="center" wrapText="1"/>
    </xf>
    <xf numFmtId="177" fontId="17"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77" fontId="41" fillId="2" borderId="1" xfId="0" applyNumberFormat="1" applyFont="1" applyFill="1" applyBorder="1" applyAlignment="1">
      <alignment horizontal="center" vertical="center" wrapText="1"/>
    </xf>
    <xf numFmtId="177" fontId="41" fillId="2" borderId="7" xfId="0" applyNumberFormat="1" applyFont="1" applyFill="1" applyBorder="1" applyAlignment="1">
      <alignment horizontal="center" vertical="center" wrapText="1"/>
    </xf>
    <xf numFmtId="177" fontId="41" fillId="2" borderId="9" xfId="0" applyNumberFormat="1" applyFont="1" applyFill="1" applyBorder="1" applyAlignment="1">
      <alignment horizontal="center" vertical="center" wrapText="1"/>
    </xf>
    <xf numFmtId="177" fontId="41" fillId="0" borderId="1" xfId="0" applyNumberFormat="1" applyFont="1" applyBorder="1" applyAlignment="1">
      <alignment horizontal="center" vertical="center" wrapText="1"/>
    </xf>
    <xf numFmtId="177" fontId="41" fillId="2" borderId="8"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41" fillId="0" borderId="1" xfId="0" applyFont="1" applyBorder="1" applyAlignment="1">
      <alignment horizontal="center" vertical="center" wrapText="1"/>
    </xf>
    <xf numFmtId="184" fontId="0" fillId="0" borderId="0" xfId="0" applyNumberFormat="1" applyAlignment="1">
      <alignment vertical="center"/>
    </xf>
    <xf numFmtId="0" fontId="42" fillId="0" borderId="0" xfId="0" applyFont="1" applyAlignment="1">
      <alignment horizontal="center" vertical="center" wrapText="1"/>
    </xf>
    <xf numFmtId="0" fontId="43" fillId="0" borderId="0" xfId="0" applyFont="1" applyAlignment="1">
      <alignment horizontal="left" vertical="center" wrapText="1"/>
    </xf>
    <xf numFmtId="0" fontId="36" fillId="0" borderId="1" xfId="0" applyFont="1" applyBorder="1" applyAlignment="1">
      <alignment horizontal="center" vertical="center" wrapText="1"/>
    </xf>
    <xf numFmtId="0" fontId="36" fillId="0" borderId="7" xfId="0" applyFont="1" applyBorder="1" applyAlignment="1">
      <alignment horizontal="center" vertical="center" wrapText="1"/>
    </xf>
    <xf numFmtId="184" fontId="36" fillId="0" borderId="7" xfId="0" applyNumberFormat="1" applyFont="1" applyBorder="1" applyAlignment="1">
      <alignment horizontal="center" vertical="center" wrapText="1"/>
    </xf>
    <xf numFmtId="0" fontId="36" fillId="0" borderId="8" xfId="0" applyFont="1" applyBorder="1" applyAlignment="1">
      <alignment horizontal="center" vertical="center" wrapText="1"/>
    </xf>
    <xf numFmtId="184" fontId="36" fillId="0" borderId="8" xfId="0" applyNumberFormat="1" applyFont="1" applyBorder="1" applyAlignment="1">
      <alignment horizontal="center" vertical="center" wrapText="1"/>
    </xf>
    <xf numFmtId="0" fontId="44" fillId="0" borderId="1" xfId="0" applyFont="1" applyBorder="1" applyAlignment="1">
      <alignment horizontal="center" vertical="center" wrapText="1"/>
    </xf>
    <xf numFmtId="0" fontId="43" fillId="0" borderId="1" xfId="0" applyFont="1" applyBorder="1" applyAlignment="1">
      <alignment horizontal="center" vertical="center" wrapText="1"/>
    </xf>
    <xf numFmtId="184" fontId="36" fillId="0" borderId="1" xfId="0" applyNumberFormat="1" applyFont="1" applyBorder="1" applyAlignment="1">
      <alignment horizontal="center" vertical="center" wrapText="1"/>
    </xf>
    <xf numFmtId="0" fontId="0" fillId="0" borderId="1" xfId="0" applyBorder="1" applyAlignment="1">
      <alignment vertical="center"/>
    </xf>
    <xf numFmtId="0" fontId="45" fillId="0" borderId="0" xfId="49"/>
    <xf numFmtId="0" fontId="46" fillId="3" borderId="0" xfId="49" applyFont="1" applyFill="1" applyAlignment="1">
      <alignment horizontal="center" wrapText="1"/>
    </xf>
    <xf numFmtId="0" fontId="47" fillId="3" borderId="0" xfId="49" applyFont="1" applyFill="1" applyAlignment="1">
      <alignment horizontal="center" vertical="center" wrapText="1"/>
    </xf>
    <xf numFmtId="0" fontId="48" fillId="3" borderId="0" xfId="49" applyFont="1" applyFill="1" applyAlignment="1">
      <alignment horizontal="center" vertical="center" wrapText="1"/>
    </xf>
    <xf numFmtId="0" fontId="2" fillId="3" borderId="0" xfId="49" applyFont="1" applyFill="1" applyAlignment="1">
      <alignment horizontal="left" wrapText="1"/>
    </xf>
    <xf numFmtId="0" fontId="49" fillId="3" borderId="0" xfId="49" applyFont="1" applyFill="1" applyAlignment="1">
      <alignment horizontal="center" wrapText="1"/>
    </xf>
    <xf numFmtId="0" fontId="50" fillId="3" borderId="0" xfId="49" applyFont="1" applyFill="1" applyAlignment="1">
      <alignment horizontal="center" wrapText="1"/>
    </xf>
    <xf numFmtId="0" fontId="49" fillId="3" borderId="0" xfId="49" applyFont="1" applyFill="1" applyAlignment="1">
      <alignment horizontal="right" wrapText="1"/>
    </xf>
    <xf numFmtId="0" fontId="11" fillId="3" borderId="0" xfId="49" applyFont="1" applyFill="1" applyAlignment="1">
      <alignment horizontal="center" vertical="top" wrapText="1"/>
    </xf>
    <xf numFmtId="0" fontId="51" fillId="3" borderId="0" xfId="49" applyFont="1" applyFill="1" applyAlignment="1">
      <alignment horizontal="center" vertical="center" wrapText="1"/>
    </xf>
    <xf numFmtId="0" fontId="2" fillId="3" borderId="0" xfId="49" applyFont="1" applyFill="1" applyAlignment="1">
      <alignment vertical="center" wrapText="1"/>
    </xf>
    <xf numFmtId="0" fontId="49" fillId="3" borderId="0" xfId="49" applyFont="1" applyFill="1" applyAlignment="1">
      <alignment horizontal="left" wrapText="1"/>
    </xf>
    <xf numFmtId="0" fontId="51" fillId="3" borderId="0" xfId="49" applyFont="1" applyFill="1" applyAlignment="1">
      <alignment horizontal="right" vertical="top" wrapText="1"/>
    </xf>
    <xf numFmtId="0" fontId="51" fillId="3" borderId="0" xfId="49" applyFont="1" applyFill="1" applyAlignment="1">
      <alignment horizontal="left" vertical="center" wrapText="1"/>
    </xf>
    <xf numFmtId="0" fontId="51" fillId="3" borderId="0" xfId="49" applyFont="1" applyFill="1" applyAlignment="1">
      <alignment horizontal="right" vertical="center" wrapText="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10 2 4" xfId="50"/>
    <cellStyle name="常规 2" xfId="51"/>
    <cellStyle name="常规 2 3 2 2 2 4" xfId="52"/>
    <cellStyle name="常规 20" xfId="53"/>
    <cellStyle name="常规 34" xfId="54"/>
    <cellStyle name="常规 36" xfId="55"/>
    <cellStyle name="常规 5 2" xfId="56"/>
    <cellStyle name="常规 60" xfId="57"/>
    <cellStyle name="常规 7 2" xfId="58"/>
    <cellStyle name="常规 8" xfId="59"/>
    <cellStyle name="常规_Sheet1" xfId="60"/>
    <cellStyle name="常规_Sheet1_基坑支护工程监测计价清单（折后190531）" xfId="61"/>
    <cellStyle name="常规_基坑支护工程监测计价清单（折后190531）" xfId="6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showGridLines="0" view="pageBreakPreview" zoomScaleNormal="100" workbookViewId="0">
      <selection activeCell="K3" sqref="K3"/>
    </sheetView>
  </sheetViews>
  <sheetFormatPr defaultColWidth="8" defaultRowHeight="11.25" outlineLevelCol="6"/>
  <cols>
    <col min="1" max="1" width="15.5" style="339" customWidth="1"/>
    <col min="2" max="2" width="2.25" style="339" customWidth="1"/>
    <col min="3" max="3" width="19.25" style="339" customWidth="1"/>
    <col min="4" max="4" width="9.625" style="339" customWidth="1"/>
    <col min="5" max="5" width="29.625" style="339" customWidth="1"/>
    <col min="6" max="6" width="2.375" style="339" customWidth="1"/>
    <col min="7" max="7" width="24.125" style="339" customWidth="1"/>
    <col min="8" max="16384" width="8" style="339"/>
  </cols>
  <sheetData>
    <row r="1" ht="127.5" customHeight="1" spans="1:7">
      <c r="A1" s="340" t="s">
        <v>0</v>
      </c>
      <c r="B1" s="340"/>
      <c r="C1" s="340"/>
      <c r="D1" s="340"/>
      <c r="E1" s="340"/>
      <c r="F1" s="340"/>
      <c r="G1" s="340"/>
    </row>
    <row r="2" ht="60" customHeight="1" spans="1:7">
      <c r="A2" s="341"/>
      <c r="B2" s="341"/>
      <c r="C2" s="341"/>
      <c r="D2" s="341"/>
      <c r="E2" s="341"/>
      <c r="F2" s="341"/>
      <c r="G2" s="341"/>
    </row>
    <row r="3" ht="141" customHeight="1" spans="1:7">
      <c r="A3" s="342" t="s">
        <v>1</v>
      </c>
      <c r="B3" s="342"/>
      <c r="C3" s="342"/>
      <c r="D3" s="342"/>
      <c r="E3" s="342"/>
      <c r="F3" s="342"/>
      <c r="G3" s="342"/>
    </row>
    <row r="4" ht="60" customHeight="1" spans="1:7">
      <c r="A4" s="343"/>
      <c r="B4" s="344"/>
      <c r="C4" s="344"/>
      <c r="D4" s="345"/>
      <c r="E4" s="345"/>
      <c r="F4" s="343"/>
      <c r="G4" s="343"/>
    </row>
    <row r="5" ht="36" customHeight="1" spans="1:7">
      <c r="A5" s="343"/>
      <c r="B5" s="346"/>
      <c r="C5" s="346"/>
      <c r="D5" s="347"/>
      <c r="E5" s="347"/>
      <c r="F5" s="343"/>
      <c r="G5" s="343"/>
    </row>
    <row r="6" ht="60.75" customHeight="1" spans="1:7">
      <c r="A6" s="343"/>
      <c r="B6" s="344"/>
      <c r="C6" s="344"/>
      <c r="D6" s="345"/>
      <c r="E6" s="345"/>
      <c r="F6" s="343"/>
      <c r="G6" s="343"/>
    </row>
    <row r="7" ht="63" customHeight="1" spans="1:7">
      <c r="A7" s="343"/>
      <c r="B7" s="348"/>
      <c r="C7" s="348"/>
      <c r="D7" s="347"/>
      <c r="E7" s="347"/>
      <c r="F7" s="348"/>
      <c r="G7" s="348"/>
    </row>
    <row r="8" ht="36" customHeight="1" spans="1:7">
      <c r="A8" s="343"/>
      <c r="B8" s="344"/>
      <c r="C8" s="344"/>
      <c r="D8" s="345"/>
      <c r="E8" s="345"/>
      <c r="F8" s="348"/>
      <c r="G8" s="348"/>
    </row>
    <row r="9" ht="36" customHeight="1" spans="1:7">
      <c r="A9" s="343"/>
      <c r="B9" s="348"/>
      <c r="C9" s="348"/>
      <c r="D9" s="347"/>
      <c r="E9" s="347"/>
      <c r="F9" s="348"/>
      <c r="G9" s="348"/>
    </row>
    <row r="10" ht="69.75" customHeight="1" spans="1:7">
      <c r="A10" s="343"/>
      <c r="B10" s="349"/>
      <c r="C10" s="349"/>
      <c r="D10" s="344" t="s">
        <v>2</v>
      </c>
      <c r="E10" s="344"/>
      <c r="F10" s="343"/>
      <c r="G10" s="343"/>
    </row>
    <row r="11" ht="21" customHeight="1" spans="1:7">
      <c r="A11" s="343"/>
      <c r="B11" s="349"/>
      <c r="C11" s="349"/>
      <c r="D11" s="350"/>
      <c r="E11" s="350"/>
      <c r="F11" s="351"/>
      <c r="G11" s="351"/>
    </row>
    <row r="12" ht="18" customHeight="1" spans="1:7">
      <c r="A12" s="352"/>
      <c r="B12" s="352"/>
      <c r="C12" s="348"/>
      <c r="D12" s="348"/>
      <c r="E12" s="348"/>
      <c r="F12" s="348"/>
      <c r="G12" s="353"/>
    </row>
  </sheetData>
  <mergeCells count="26">
    <mergeCell ref="A1:G1"/>
    <mergeCell ref="A2:G2"/>
    <mergeCell ref="A3:G3"/>
    <mergeCell ref="B4:C4"/>
    <mergeCell ref="D4:E4"/>
    <mergeCell ref="F4:G4"/>
    <mergeCell ref="B5:C5"/>
    <mergeCell ref="D5:E5"/>
    <mergeCell ref="F5:G5"/>
    <mergeCell ref="B6:C6"/>
    <mergeCell ref="D6:E6"/>
    <mergeCell ref="F6:G6"/>
    <mergeCell ref="B7:C7"/>
    <mergeCell ref="D7:E7"/>
    <mergeCell ref="F7:G7"/>
    <mergeCell ref="B8:C8"/>
    <mergeCell ref="D8:E8"/>
    <mergeCell ref="B9:C9"/>
    <mergeCell ref="D9:E9"/>
    <mergeCell ref="B10:C10"/>
    <mergeCell ref="D10:E10"/>
    <mergeCell ref="F10:G10"/>
    <mergeCell ref="B11:C11"/>
    <mergeCell ref="F11:G11"/>
    <mergeCell ref="A12:B12"/>
    <mergeCell ref="C12:F12"/>
  </mergeCells>
  <printOptions horizontalCentered="1"/>
  <pageMargins left="0.116416666666667" right="0.116416666666667" top="0.59375" bottom="0" header="0.59375" footer="0"/>
  <pageSetup paperSize="9" scale="9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O15"/>
  <sheetViews>
    <sheetView view="pageBreakPreview" zoomScaleNormal="100" workbookViewId="0">
      <pane ySplit="3" topLeftCell="A4" activePane="bottomLeft" state="frozen"/>
      <selection/>
      <selection pane="bottomLeft" activeCell="O13" sqref="O13"/>
    </sheetView>
  </sheetViews>
  <sheetFormatPr defaultColWidth="9" defaultRowHeight="13.5"/>
  <cols>
    <col min="1" max="1" width="4.125" customWidth="1"/>
    <col min="2" max="2" width="20.125" customWidth="1"/>
    <col min="3" max="3" width="23.125" customWidth="1"/>
    <col min="4" max="4" width="9" customWidth="1"/>
    <col min="6" max="6" width="9" customWidth="1"/>
    <col min="7" max="8" width="9" hidden="1" customWidth="1"/>
    <col min="9" max="9" width="12.375" customWidth="1"/>
    <col min="10" max="13" width="9" customWidth="1"/>
    <col min="14" max="14" width="14.875" customWidth="1"/>
    <col min="15" max="15" width="9" customWidth="1"/>
  </cols>
  <sheetData>
    <row r="1" ht="24" customHeight="1" spans="1:15">
      <c r="A1" s="141" t="s">
        <v>586</v>
      </c>
      <c r="B1" s="193"/>
      <c r="C1" s="203"/>
      <c r="D1" s="203"/>
      <c r="E1" s="193"/>
      <c r="F1" s="193"/>
      <c r="G1" s="193"/>
      <c r="H1" s="193"/>
      <c r="I1" s="193"/>
      <c r="J1" s="193"/>
      <c r="K1" s="193"/>
      <c r="L1" s="193"/>
      <c r="M1" s="193"/>
      <c r="N1" s="203"/>
      <c r="O1" s="193"/>
    </row>
    <row r="2" ht="24" customHeight="1" spans="1:15">
      <c r="A2" s="142" t="str">
        <f>'6、室内环境检测'!A2</f>
        <v>工程名称：天河区凌塘村城中村改造项目-首开区复建安置房及配套设施工程第三方检测及监测技术服务</v>
      </c>
      <c r="B2" s="142"/>
      <c r="C2" s="142"/>
      <c r="D2" s="142"/>
      <c r="E2" s="142"/>
      <c r="F2" s="142"/>
      <c r="G2" s="142"/>
      <c r="H2" s="142"/>
      <c r="I2" s="142"/>
      <c r="J2" s="142"/>
      <c r="K2" s="142"/>
      <c r="L2" s="142"/>
      <c r="M2" s="142"/>
      <c r="N2" s="142"/>
      <c r="O2" s="142"/>
    </row>
    <row r="3" ht="36" spans="1:15">
      <c r="A3" s="42" t="s">
        <v>18</v>
      </c>
      <c r="B3" s="42" t="s">
        <v>436</v>
      </c>
      <c r="C3" s="42" t="s">
        <v>49</v>
      </c>
      <c r="D3" s="42" t="s">
        <v>50</v>
      </c>
      <c r="E3" s="42" t="s">
        <v>20</v>
      </c>
      <c r="F3" s="42" t="s">
        <v>51</v>
      </c>
      <c r="G3" s="10" t="s">
        <v>52</v>
      </c>
      <c r="H3" s="10" t="s">
        <v>53</v>
      </c>
      <c r="I3" s="10" t="str">
        <f>'6、室内环境检测'!I3</f>
        <v>全费用综合单价限价（元）</v>
      </c>
      <c r="J3" s="10" t="s">
        <v>55</v>
      </c>
      <c r="K3" s="10" t="s">
        <v>56</v>
      </c>
      <c r="L3" s="10" t="s">
        <v>57</v>
      </c>
      <c r="M3" s="10" t="s">
        <v>476</v>
      </c>
      <c r="N3" s="42" t="s">
        <v>11</v>
      </c>
      <c r="O3" s="42" t="s">
        <v>12</v>
      </c>
    </row>
    <row r="4" ht="24" spans="1:15">
      <c r="A4" s="197">
        <v>1</v>
      </c>
      <c r="B4" s="204" t="s">
        <v>587</v>
      </c>
      <c r="C4" s="205" t="s">
        <v>587</v>
      </c>
      <c r="D4" s="206" t="s">
        <v>588</v>
      </c>
      <c r="E4" s="53" t="s">
        <v>427</v>
      </c>
      <c r="F4" s="202">
        <v>5</v>
      </c>
      <c r="G4" s="73">
        <v>500</v>
      </c>
      <c r="H4" s="207">
        <f>G4*F4</f>
        <v>2500</v>
      </c>
      <c r="I4" s="207">
        <v>350</v>
      </c>
      <c r="J4" s="207"/>
      <c r="K4" s="207"/>
      <c r="L4" s="207"/>
      <c r="M4" s="207"/>
      <c r="N4" s="98"/>
      <c r="O4" s="197"/>
    </row>
    <row r="5" ht="24" spans="1:15">
      <c r="A5" s="197">
        <v>2</v>
      </c>
      <c r="B5" s="204" t="s">
        <v>589</v>
      </c>
      <c r="C5" s="205" t="s">
        <v>590</v>
      </c>
      <c r="D5" s="206" t="s">
        <v>591</v>
      </c>
      <c r="E5" s="84" t="s">
        <v>427</v>
      </c>
      <c r="F5" s="202">
        <v>160</v>
      </c>
      <c r="G5" s="73">
        <v>500</v>
      </c>
      <c r="H5" s="207">
        <f t="shared" ref="H5:H14" si="0">G5*F5</f>
        <v>80000</v>
      </c>
      <c r="I5" s="207">
        <v>350</v>
      </c>
      <c r="J5" s="207"/>
      <c r="K5" s="207"/>
      <c r="L5" s="207"/>
      <c r="M5" s="207"/>
      <c r="N5" s="98"/>
      <c r="O5" s="197"/>
    </row>
    <row r="6" ht="24" spans="1:15">
      <c r="A6" s="197">
        <v>3</v>
      </c>
      <c r="B6" s="204" t="s">
        <v>592</v>
      </c>
      <c r="C6" s="205" t="s">
        <v>593</v>
      </c>
      <c r="D6" s="206" t="s">
        <v>594</v>
      </c>
      <c r="E6" s="84" t="s">
        <v>427</v>
      </c>
      <c r="F6" s="202">
        <v>200</v>
      </c>
      <c r="G6" s="73">
        <v>500</v>
      </c>
      <c r="H6" s="207">
        <f t="shared" si="0"/>
        <v>100000</v>
      </c>
      <c r="I6" s="207">
        <v>350</v>
      </c>
      <c r="J6" s="207"/>
      <c r="K6" s="207"/>
      <c r="L6" s="207"/>
      <c r="M6" s="207"/>
      <c r="N6" s="98"/>
      <c r="O6" s="197"/>
    </row>
    <row r="7" ht="24" spans="1:15">
      <c r="A7" s="197">
        <v>4</v>
      </c>
      <c r="B7" s="205" t="s">
        <v>595</v>
      </c>
      <c r="C7" s="205" t="s">
        <v>593</v>
      </c>
      <c r="D7" s="206" t="s">
        <v>596</v>
      </c>
      <c r="E7" s="84" t="s">
        <v>427</v>
      </c>
      <c r="F7" s="202">
        <v>140</v>
      </c>
      <c r="G7" s="73">
        <v>500</v>
      </c>
      <c r="H7" s="207">
        <f t="shared" si="0"/>
        <v>70000</v>
      </c>
      <c r="I7" s="207">
        <v>350</v>
      </c>
      <c r="J7" s="207"/>
      <c r="K7" s="207"/>
      <c r="L7" s="207"/>
      <c r="M7" s="207"/>
      <c r="N7" s="98"/>
      <c r="O7" s="197"/>
    </row>
    <row r="8" ht="24" spans="1:15">
      <c r="A8" s="197">
        <v>5</v>
      </c>
      <c r="B8" s="109" t="s">
        <v>597</v>
      </c>
      <c r="C8" s="118" t="s">
        <v>593</v>
      </c>
      <c r="D8" s="208" t="s">
        <v>598</v>
      </c>
      <c r="E8" s="209" t="s">
        <v>427</v>
      </c>
      <c r="F8" s="210">
        <v>150</v>
      </c>
      <c r="G8" s="73">
        <v>500</v>
      </c>
      <c r="H8" s="207">
        <f t="shared" si="0"/>
        <v>75000</v>
      </c>
      <c r="I8" s="207">
        <v>350</v>
      </c>
      <c r="J8" s="207"/>
      <c r="K8" s="207"/>
      <c r="L8" s="207"/>
      <c r="M8" s="207"/>
      <c r="N8" s="98"/>
      <c r="O8" s="215"/>
    </row>
    <row r="9" ht="48" spans="1:15">
      <c r="A9" s="197">
        <v>6</v>
      </c>
      <c r="B9" s="204" t="s">
        <v>599</v>
      </c>
      <c r="C9" s="205" t="s">
        <v>593</v>
      </c>
      <c r="D9" s="206" t="s">
        <v>600</v>
      </c>
      <c r="E9" s="84" t="s">
        <v>427</v>
      </c>
      <c r="F9" s="202">
        <v>200</v>
      </c>
      <c r="G9" s="73">
        <v>500</v>
      </c>
      <c r="H9" s="207">
        <f t="shared" si="0"/>
        <v>100000</v>
      </c>
      <c r="I9" s="207">
        <v>350</v>
      </c>
      <c r="J9" s="207"/>
      <c r="K9" s="207"/>
      <c r="L9" s="207"/>
      <c r="M9" s="207"/>
      <c r="N9" s="98"/>
      <c r="O9" s="197"/>
    </row>
    <row r="10" ht="24" spans="1:15">
      <c r="A10" s="197">
        <v>7</v>
      </c>
      <c r="B10" s="204" t="s">
        <v>601</v>
      </c>
      <c r="C10" s="205" t="s">
        <v>602</v>
      </c>
      <c r="D10" s="206" t="s">
        <v>603</v>
      </c>
      <c r="E10" s="84" t="s">
        <v>427</v>
      </c>
      <c r="F10" s="202">
        <v>100</v>
      </c>
      <c r="G10" s="73">
        <v>300</v>
      </c>
      <c r="H10" s="207">
        <f t="shared" si="0"/>
        <v>30000</v>
      </c>
      <c r="I10" s="207">
        <v>210</v>
      </c>
      <c r="J10" s="207"/>
      <c r="K10" s="207"/>
      <c r="L10" s="207"/>
      <c r="M10" s="207"/>
      <c r="N10" s="98"/>
      <c r="O10" s="197"/>
    </row>
    <row r="11" spans="1:15">
      <c r="A11" s="197">
        <v>8</v>
      </c>
      <c r="B11" s="204" t="s">
        <v>604</v>
      </c>
      <c r="C11" s="205" t="s">
        <v>593</v>
      </c>
      <c r="D11" s="206" t="s">
        <v>605</v>
      </c>
      <c r="E11" s="84" t="s">
        <v>427</v>
      </c>
      <c r="F11" s="202">
        <v>100</v>
      </c>
      <c r="G11" s="73">
        <v>500</v>
      </c>
      <c r="H11" s="207">
        <f t="shared" si="0"/>
        <v>50000</v>
      </c>
      <c r="I11" s="207">
        <v>350</v>
      </c>
      <c r="J11" s="207"/>
      <c r="K11" s="207"/>
      <c r="L11" s="207"/>
      <c r="M11" s="207"/>
      <c r="N11" s="98"/>
      <c r="O11" s="197"/>
    </row>
    <row r="12" ht="24" spans="1:15">
      <c r="A12" s="197">
        <v>9</v>
      </c>
      <c r="B12" s="204" t="s">
        <v>606</v>
      </c>
      <c r="C12" s="205" t="s">
        <v>607</v>
      </c>
      <c r="D12" s="206" t="s">
        <v>605</v>
      </c>
      <c r="E12" s="84" t="s">
        <v>209</v>
      </c>
      <c r="F12" s="202">
        <v>35</v>
      </c>
      <c r="G12" s="73">
        <v>500</v>
      </c>
      <c r="H12" s="207">
        <f t="shared" si="0"/>
        <v>17500</v>
      </c>
      <c r="I12" s="207">
        <v>350</v>
      </c>
      <c r="J12" s="207"/>
      <c r="K12" s="207"/>
      <c r="L12" s="207"/>
      <c r="M12" s="207"/>
      <c r="N12" s="98"/>
      <c r="O12" s="197"/>
    </row>
    <row r="13" spans="1:15">
      <c r="A13" s="197">
        <v>10</v>
      </c>
      <c r="B13" s="31" t="s">
        <v>608</v>
      </c>
      <c r="C13" s="31" t="s">
        <v>608</v>
      </c>
      <c r="D13" s="31" t="s">
        <v>605</v>
      </c>
      <c r="E13" s="31" t="s">
        <v>609</v>
      </c>
      <c r="F13" s="197">
        <v>1</v>
      </c>
      <c r="G13" s="73">
        <v>8000</v>
      </c>
      <c r="H13" s="207">
        <f t="shared" si="0"/>
        <v>8000</v>
      </c>
      <c r="I13" s="207">
        <v>5600</v>
      </c>
      <c r="J13" s="207"/>
      <c r="K13" s="207"/>
      <c r="L13" s="207"/>
      <c r="M13" s="207"/>
      <c r="N13" s="98"/>
      <c r="O13" s="31"/>
    </row>
    <row r="14" spans="1:15">
      <c r="A14" s="197">
        <v>11</v>
      </c>
      <c r="B14" s="31" t="s">
        <v>610</v>
      </c>
      <c r="C14" s="31" t="s">
        <v>610</v>
      </c>
      <c r="D14" s="31" t="s">
        <v>605</v>
      </c>
      <c r="E14" s="31" t="s">
        <v>62</v>
      </c>
      <c r="F14" s="197">
        <v>5</v>
      </c>
      <c r="G14" s="73">
        <v>500</v>
      </c>
      <c r="H14" s="207">
        <f t="shared" si="0"/>
        <v>2500</v>
      </c>
      <c r="I14" s="207">
        <v>350</v>
      </c>
      <c r="J14" s="207"/>
      <c r="K14" s="207"/>
      <c r="L14" s="207"/>
      <c r="M14" s="207"/>
      <c r="N14" s="98"/>
      <c r="O14" s="31"/>
    </row>
    <row r="15" ht="24" customHeight="1" spans="1:15">
      <c r="A15" s="211" t="s">
        <v>385</v>
      </c>
      <c r="B15" s="212"/>
      <c r="C15" s="212"/>
      <c r="D15" s="212"/>
      <c r="E15" s="212"/>
      <c r="F15" s="212"/>
      <c r="G15" s="213"/>
      <c r="H15" s="214">
        <f>SUM(H4:H14)</f>
        <v>535500</v>
      </c>
      <c r="I15" s="216"/>
      <c r="J15" s="214">
        <f>SUM(J4:J14)</f>
        <v>0</v>
      </c>
      <c r="K15" s="214"/>
      <c r="L15" s="214"/>
      <c r="M15" s="214"/>
      <c r="N15" s="202"/>
      <c r="O15" s="202"/>
    </row>
  </sheetData>
  <autoFilter xmlns:etc="http://www.wps.cn/officeDocument/2017/etCustomData" ref="A3:P15" etc:filterBottomFollowUsedRange="0">
    <extLst/>
  </autoFilter>
  <mergeCells count="3">
    <mergeCell ref="A1:O1"/>
    <mergeCell ref="A2:O2"/>
    <mergeCell ref="A15:G15"/>
  </mergeCells>
  <pageMargins left="0.75" right="0.75" top="1" bottom="1" header="0.5" footer="0.5"/>
  <pageSetup paperSize="9" scale="6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O8"/>
  <sheetViews>
    <sheetView view="pageBreakPreview" zoomScaleNormal="100" workbookViewId="0">
      <selection activeCell="O5" sqref="O5"/>
    </sheetView>
  </sheetViews>
  <sheetFormatPr defaultColWidth="9" defaultRowHeight="13.5" outlineLevelRow="7"/>
  <cols>
    <col min="1" max="1" width="4.125" customWidth="1"/>
    <col min="2" max="2" width="7.625" customWidth="1"/>
    <col min="3" max="3" width="39.5" customWidth="1"/>
    <col min="4" max="4" width="16.875" customWidth="1"/>
    <col min="6" max="6" width="9" customWidth="1"/>
    <col min="7" max="7" width="9" hidden="1" customWidth="1"/>
    <col min="8" max="8" width="11.5" hidden="1" customWidth="1"/>
    <col min="9" max="9" width="10.25" customWidth="1"/>
    <col min="10" max="13" width="10.5" customWidth="1"/>
    <col min="14" max="14" width="12.125" customWidth="1"/>
    <col min="15" max="15" width="9" customWidth="1"/>
  </cols>
  <sheetData>
    <row r="1" ht="39" customHeight="1" spans="1:15">
      <c r="A1" s="141" t="s">
        <v>611</v>
      </c>
      <c r="B1" s="193"/>
      <c r="C1" s="193"/>
      <c r="D1" s="193"/>
      <c r="E1" s="193"/>
      <c r="F1" s="193"/>
      <c r="G1" s="193"/>
      <c r="H1" s="193"/>
      <c r="I1" s="193"/>
      <c r="J1" s="193"/>
      <c r="K1" s="193"/>
      <c r="L1" s="193"/>
      <c r="M1" s="193"/>
      <c r="N1" s="193"/>
      <c r="O1" s="193"/>
    </row>
    <row r="2" ht="24" customHeight="1" spans="1:15">
      <c r="A2" s="142" t="str">
        <f>'7、防雷及电气检测'!A2</f>
        <v>工程名称：天河区凌塘村城中村改造项目-首开区复建安置房及配套设施工程第三方检测及监测技术服务</v>
      </c>
      <c r="B2" s="142"/>
      <c r="C2" s="142"/>
      <c r="D2" s="142"/>
      <c r="E2" s="142"/>
      <c r="F2" s="142"/>
      <c r="G2" s="142"/>
      <c r="H2" s="142"/>
      <c r="I2" s="142"/>
      <c r="J2" s="142"/>
      <c r="K2" s="142"/>
      <c r="L2" s="142"/>
      <c r="M2" s="142"/>
      <c r="N2" s="142"/>
      <c r="O2" s="142"/>
    </row>
    <row r="3" s="192" customFormat="1" ht="36" spans="1:15">
      <c r="A3" s="42" t="s">
        <v>18</v>
      </c>
      <c r="B3" s="42" t="s">
        <v>436</v>
      </c>
      <c r="C3" s="42" t="s">
        <v>49</v>
      </c>
      <c r="D3" s="42" t="s">
        <v>50</v>
      </c>
      <c r="E3" s="42" t="s">
        <v>20</v>
      </c>
      <c r="F3" s="42" t="s">
        <v>51</v>
      </c>
      <c r="G3" s="10" t="s">
        <v>52</v>
      </c>
      <c r="H3" s="10" t="s">
        <v>53</v>
      </c>
      <c r="I3" s="10" t="str">
        <f>'7、防雷及电气检测'!I3</f>
        <v>全费用综合单价限价（元）</v>
      </c>
      <c r="J3" s="10" t="s">
        <v>55</v>
      </c>
      <c r="K3" s="10" t="s">
        <v>56</v>
      </c>
      <c r="L3" s="10" t="s">
        <v>57</v>
      </c>
      <c r="M3" s="10" t="s">
        <v>476</v>
      </c>
      <c r="N3" s="42" t="s">
        <v>11</v>
      </c>
      <c r="O3" s="42" t="s">
        <v>12</v>
      </c>
    </row>
    <row r="4" ht="41.1" customHeight="1" spans="1:15">
      <c r="A4" s="194">
        <v>1</v>
      </c>
      <c r="B4" s="195" t="s">
        <v>612</v>
      </c>
      <c r="C4" s="195" t="s">
        <v>613</v>
      </c>
      <c r="D4" s="195" t="s">
        <v>614</v>
      </c>
      <c r="E4" s="195" t="s">
        <v>62</v>
      </c>
      <c r="F4" s="194">
        <v>10</v>
      </c>
      <c r="G4" s="196">
        <f>250+500+250+250+500+500+350+350</f>
        <v>2950</v>
      </c>
      <c r="H4" s="194">
        <f>G4*F4</f>
        <v>29500</v>
      </c>
      <c r="I4" s="199">
        <v>2065</v>
      </c>
      <c r="J4" s="199"/>
      <c r="K4" s="199"/>
      <c r="L4" s="199"/>
      <c r="M4" s="199"/>
      <c r="N4" s="200"/>
      <c r="O4" s="195"/>
    </row>
    <row r="5" ht="36" customHeight="1" spans="1:15">
      <c r="A5" s="197">
        <v>2</v>
      </c>
      <c r="B5" s="43" t="s">
        <v>615</v>
      </c>
      <c r="C5" s="31" t="s">
        <v>616</v>
      </c>
      <c r="D5" s="31" t="s">
        <v>617</v>
      </c>
      <c r="E5" s="43" t="s">
        <v>62</v>
      </c>
      <c r="F5" s="197">
        <v>5</v>
      </c>
      <c r="G5" s="98">
        <f>250+500+500+500+500+500</f>
        <v>2750</v>
      </c>
      <c r="H5" s="197">
        <f>G5*F5</f>
        <v>13750</v>
      </c>
      <c r="I5" s="201">
        <v>1925</v>
      </c>
      <c r="J5" s="201"/>
      <c r="K5" s="201"/>
      <c r="L5" s="201"/>
      <c r="M5" s="201"/>
      <c r="N5" s="53"/>
      <c r="O5" s="31"/>
    </row>
    <row r="6" ht="24" customHeight="1" spans="1:15">
      <c r="A6" s="197">
        <v>3</v>
      </c>
      <c r="B6" s="31" t="s">
        <v>618</v>
      </c>
      <c r="C6" s="31" t="s">
        <v>619</v>
      </c>
      <c r="D6" s="31" t="s">
        <v>620</v>
      </c>
      <c r="E6" s="31" t="s">
        <v>427</v>
      </c>
      <c r="F6" s="197">
        <v>200</v>
      </c>
      <c r="G6" s="98">
        <v>100</v>
      </c>
      <c r="H6" s="197">
        <f>G6*F6</f>
        <v>20000</v>
      </c>
      <c r="I6" s="201">
        <v>70</v>
      </c>
      <c r="J6" s="201"/>
      <c r="K6" s="201"/>
      <c r="L6" s="201"/>
      <c r="M6" s="201"/>
      <c r="N6" s="53"/>
      <c r="O6" s="31"/>
    </row>
    <row r="7" ht="24" customHeight="1" spans="1:15">
      <c r="A7" s="197">
        <v>4</v>
      </c>
      <c r="B7" s="31" t="s">
        <v>621</v>
      </c>
      <c r="C7" s="197"/>
      <c r="D7" s="197"/>
      <c r="E7" s="31" t="s">
        <v>427</v>
      </c>
      <c r="F7" s="197">
        <v>800</v>
      </c>
      <c r="G7" s="98">
        <v>100</v>
      </c>
      <c r="H7" s="197">
        <f>G7*F7</f>
        <v>80000</v>
      </c>
      <c r="I7" s="201">
        <v>70</v>
      </c>
      <c r="J7" s="201"/>
      <c r="K7" s="201"/>
      <c r="L7" s="201"/>
      <c r="M7" s="201"/>
      <c r="N7" s="53"/>
      <c r="O7" s="197"/>
    </row>
    <row r="8" ht="24" customHeight="1" spans="1:15">
      <c r="A8" s="131" t="s">
        <v>385</v>
      </c>
      <c r="B8" s="131"/>
      <c r="C8" s="131"/>
      <c r="D8" s="131"/>
      <c r="E8" s="131"/>
      <c r="F8" s="131"/>
      <c r="G8" s="131"/>
      <c r="H8" s="198">
        <f>SUM(H4:H7)</f>
        <v>143250</v>
      </c>
      <c r="I8" s="202"/>
      <c r="J8" s="198">
        <f>SUM(J4:J7)</f>
        <v>0</v>
      </c>
      <c r="K8" s="198"/>
      <c r="L8" s="198"/>
      <c r="M8" s="198"/>
      <c r="N8" s="202"/>
      <c r="O8" s="202"/>
    </row>
  </sheetData>
  <mergeCells count="6">
    <mergeCell ref="A1:O1"/>
    <mergeCell ref="A2:O2"/>
    <mergeCell ref="A8:G8"/>
    <mergeCell ref="C6:C7"/>
    <mergeCell ref="D6:D7"/>
    <mergeCell ref="O6:O7"/>
  </mergeCells>
  <pageMargins left="0.75" right="0.75" top="1" bottom="1" header="0.5" footer="0.5"/>
  <pageSetup paperSize="9" scale="54"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P26"/>
  <sheetViews>
    <sheetView view="pageBreakPreview" zoomScaleNormal="85" topLeftCell="C1" workbookViewId="0">
      <pane ySplit="3" topLeftCell="A15" activePane="bottomLeft" state="frozen"/>
      <selection/>
      <selection pane="bottomLeft" activeCell="I3" sqref="I$1:I$1048576"/>
    </sheetView>
  </sheetViews>
  <sheetFormatPr defaultColWidth="9" defaultRowHeight="13.5"/>
  <cols>
    <col min="1" max="1" width="5.5" style="183" customWidth="1"/>
    <col min="2" max="2" width="14.75" style="183" customWidth="1"/>
    <col min="3" max="3" width="42" style="183" customWidth="1"/>
    <col min="4" max="4" width="36.125" style="184" customWidth="1"/>
    <col min="5" max="5" width="6.5" style="183"/>
    <col min="6" max="6" width="9" style="183" customWidth="1"/>
    <col min="7" max="7" width="9" style="183" hidden="1" customWidth="1"/>
    <col min="8" max="8" width="16.875" style="183" hidden="1" customWidth="1"/>
    <col min="9" max="9" width="11.375" style="183" customWidth="1"/>
    <col min="10" max="13" width="14.125" style="183" customWidth="1"/>
    <col min="14" max="14" width="15" style="185" customWidth="1"/>
    <col min="15" max="15" width="18.625" style="186" customWidth="1"/>
    <col min="16" max="16384" width="9" style="186"/>
  </cols>
  <sheetData>
    <row r="1" ht="24" customHeight="1" spans="1:16">
      <c r="A1" s="153" t="s">
        <v>622</v>
      </c>
      <c r="B1" s="153"/>
      <c r="C1" s="153"/>
      <c r="D1" s="153"/>
      <c r="E1" s="153"/>
      <c r="F1" s="153"/>
      <c r="G1" s="153"/>
      <c r="H1" s="153"/>
      <c r="I1" s="153"/>
      <c r="J1" s="153"/>
      <c r="K1" s="153"/>
      <c r="L1" s="153"/>
      <c r="M1" s="153"/>
      <c r="N1" s="153"/>
      <c r="O1" s="153"/>
      <c r="P1" s="1"/>
    </row>
    <row r="2" customFormat="1" ht="24" customHeight="1" spans="1:16">
      <c r="A2" s="187"/>
      <c r="B2" s="187"/>
      <c r="C2" s="162" t="str">
        <f>'8、园林绿化检测'!A2</f>
        <v>工程名称：天河区凌塘村城中村改造项目-首开区复建安置房及配套设施工程第三方检测及监测技术服务</v>
      </c>
      <c r="D2" s="162"/>
      <c r="E2" s="162"/>
      <c r="F2" s="162"/>
      <c r="G2" s="162"/>
      <c r="H2" s="162"/>
      <c r="I2" s="162"/>
      <c r="J2" s="162"/>
      <c r="K2" s="162"/>
      <c r="L2" s="162"/>
      <c r="M2" s="162"/>
      <c r="N2" s="162"/>
      <c r="O2" s="162"/>
      <c r="P2" s="1"/>
    </row>
    <row r="3" s="182" customFormat="1" ht="24" customHeight="1" spans="1:15">
      <c r="A3" s="155" t="s">
        <v>18</v>
      </c>
      <c r="B3" s="155" t="s">
        <v>13</v>
      </c>
      <c r="C3" s="155" t="s">
        <v>49</v>
      </c>
      <c r="D3" s="40" t="s">
        <v>623</v>
      </c>
      <c r="E3" s="155" t="s">
        <v>20</v>
      </c>
      <c r="F3" s="155" t="s">
        <v>51</v>
      </c>
      <c r="G3" s="10" t="s">
        <v>52</v>
      </c>
      <c r="H3" s="10" t="s">
        <v>53</v>
      </c>
      <c r="I3" s="10" t="str">
        <f>'8、园林绿化检测'!I3</f>
        <v>全费用综合单价限价（元）</v>
      </c>
      <c r="J3" s="10" t="s">
        <v>55</v>
      </c>
      <c r="K3" s="10" t="s">
        <v>56</v>
      </c>
      <c r="L3" s="10" t="s">
        <v>57</v>
      </c>
      <c r="M3" s="10" t="s">
        <v>22</v>
      </c>
      <c r="N3" s="42" t="s">
        <v>11</v>
      </c>
      <c r="O3" s="155" t="s">
        <v>12</v>
      </c>
    </row>
    <row r="4" ht="24" customHeight="1" spans="1:15">
      <c r="A4" s="166">
        <v>1</v>
      </c>
      <c r="B4" s="166" t="s">
        <v>624</v>
      </c>
      <c r="C4" s="166" t="s">
        <v>625</v>
      </c>
      <c r="D4" s="166" t="s">
        <v>626</v>
      </c>
      <c r="E4" s="166" t="s">
        <v>62</v>
      </c>
      <c r="F4" s="166">
        <v>5</v>
      </c>
      <c r="G4" s="112">
        <f>1000+300+500+200</f>
        <v>2000</v>
      </c>
      <c r="H4" s="168">
        <f>G4*F4</f>
        <v>10000</v>
      </c>
      <c r="I4" s="168">
        <v>1400</v>
      </c>
      <c r="J4" s="168"/>
      <c r="K4" s="168"/>
      <c r="L4" s="168"/>
      <c r="M4" s="168"/>
      <c r="N4" s="166"/>
      <c r="O4" s="166"/>
    </row>
    <row r="5" s="3" customFormat="1" ht="24" customHeight="1" spans="1:15">
      <c r="A5" s="166">
        <v>2</v>
      </c>
      <c r="B5" s="166"/>
      <c r="C5" s="166" t="s">
        <v>627</v>
      </c>
      <c r="D5" s="166"/>
      <c r="E5" s="166" t="s">
        <v>62</v>
      </c>
      <c r="F5" s="166">
        <v>3</v>
      </c>
      <c r="G5" s="147">
        <f>1600+200+500</f>
        <v>2300</v>
      </c>
      <c r="H5" s="168">
        <f t="shared" ref="H5:H25" si="0">G5*F5</f>
        <v>6900</v>
      </c>
      <c r="I5" s="168">
        <v>1610</v>
      </c>
      <c r="J5" s="168"/>
      <c r="K5" s="168"/>
      <c r="L5" s="168"/>
      <c r="M5" s="168"/>
      <c r="N5" s="31"/>
      <c r="O5" s="166"/>
    </row>
    <row r="6" ht="24" customHeight="1" spans="1:15">
      <c r="A6" s="166">
        <v>3</v>
      </c>
      <c r="B6" s="166"/>
      <c r="C6" s="166" t="s">
        <v>628</v>
      </c>
      <c r="D6" s="166"/>
      <c r="E6" s="166" t="s">
        <v>62</v>
      </c>
      <c r="F6" s="166">
        <v>3</v>
      </c>
      <c r="G6" s="112">
        <v>3000</v>
      </c>
      <c r="H6" s="168">
        <f t="shared" si="0"/>
        <v>9000</v>
      </c>
      <c r="I6" s="168">
        <v>2100</v>
      </c>
      <c r="J6" s="168"/>
      <c r="K6" s="168"/>
      <c r="L6" s="168"/>
      <c r="M6" s="168"/>
      <c r="N6" s="166"/>
      <c r="O6" s="166"/>
    </row>
    <row r="7" ht="24" customHeight="1" spans="1:15">
      <c r="A7" s="166">
        <v>4</v>
      </c>
      <c r="B7" s="166"/>
      <c r="C7" s="166" t="s">
        <v>629</v>
      </c>
      <c r="D7" s="166" t="s">
        <v>630</v>
      </c>
      <c r="E7" s="166" t="s">
        <v>62</v>
      </c>
      <c r="F7" s="166">
        <v>3</v>
      </c>
      <c r="G7" s="112">
        <v>15000</v>
      </c>
      <c r="H7" s="168">
        <f t="shared" si="0"/>
        <v>45000</v>
      </c>
      <c r="I7" s="168">
        <v>10500</v>
      </c>
      <c r="J7" s="168"/>
      <c r="K7" s="168"/>
      <c r="L7" s="168"/>
      <c r="M7" s="168"/>
      <c r="N7" s="166"/>
      <c r="O7" s="166"/>
    </row>
    <row r="8" ht="24" customHeight="1" spans="1:15">
      <c r="A8" s="166">
        <v>5</v>
      </c>
      <c r="B8" s="166"/>
      <c r="C8" s="166" t="s">
        <v>631</v>
      </c>
      <c r="D8" s="166" t="s">
        <v>632</v>
      </c>
      <c r="E8" s="166" t="s">
        <v>62</v>
      </c>
      <c r="F8" s="166">
        <v>3</v>
      </c>
      <c r="G8" s="112">
        <v>1200</v>
      </c>
      <c r="H8" s="168">
        <f t="shared" si="0"/>
        <v>3600</v>
      </c>
      <c r="I8" s="168">
        <v>840</v>
      </c>
      <c r="J8" s="168"/>
      <c r="K8" s="168"/>
      <c r="L8" s="168"/>
      <c r="M8" s="168"/>
      <c r="N8" s="166"/>
      <c r="O8" s="166"/>
    </row>
    <row r="9" ht="36" spans="1:15">
      <c r="A9" s="166">
        <v>6</v>
      </c>
      <c r="B9" s="166" t="s">
        <v>633</v>
      </c>
      <c r="C9" s="166" t="s">
        <v>634</v>
      </c>
      <c r="D9" s="166" t="s">
        <v>635</v>
      </c>
      <c r="E9" s="166" t="s">
        <v>62</v>
      </c>
      <c r="F9" s="166">
        <v>3</v>
      </c>
      <c r="G9" s="112">
        <f>1600+200+500+500+4900</f>
        <v>7700</v>
      </c>
      <c r="H9" s="168">
        <f t="shared" si="0"/>
        <v>23100</v>
      </c>
      <c r="I9" s="168">
        <v>5390</v>
      </c>
      <c r="J9" s="168"/>
      <c r="K9" s="168"/>
      <c r="L9" s="168"/>
      <c r="M9" s="168"/>
      <c r="N9" s="166"/>
      <c r="O9" s="166"/>
    </row>
    <row r="10" ht="24" customHeight="1" spans="1:15">
      <c r="A10" s="166">
        <v>7</v>
      </c>
      <c r="B10" s="166" t="s">
        <v>636</v>
      </c>
      <c r="C10" s="166" t="s">
        <v>637</v>
      </c>
      <c r="D10" s="166" t="s">
        <v>638</v>
      </c>
      <c r="E10" s="166" t="s">
        <v>62</v>
      </c>
      <c r="F10" s="166">
        <v>3</v>
      </c>
      <c r="G10" s="112">
        <v>4800</v>
      </c>
      <c r="H10" s="168">
        <f t="shared" si="0"/>
        <v>14400</v>
      </c>
      <c r="I10" s="168">
        <v>3360</v>
      </c>
      <c r="J10" s="168"/>
      <c r="K10" s="168"/>
      <c r="L10" s="168"/>
      <c r="M10" s="168"/>
      <c r="N10" s="166"/>
      <c r="O10" s="166"/>
    </row>
    <row r="11" ht="24" customHeight="1" spans="1:15">
      <c r="A11" s="166">
        <v>8</v>
      </c>
      <c r="B11" s="166"/>
      <c r="C11" s="166" t="s">
        <v>639</v>
      </c>
      <c r="D11" s="166"/>
      <c r="E11" s="166" t="s">
        <v>62</v>
      </c>
      <c r="F11" s="166">
        <v>3</v>
      </c>
      <c r="G11" s="112">
        <v>1200</v>
      </c>
      <c r="H11" s="168">
        <f t="shared" si="0"/>
        <v>3600</v>
      </c>
      <c r="I11" s="168">
        <v>840</v>
      </c>
      <c r="J11" s="168"/>
      <c r="K11" s="168"/>
      <c r="L11" s="168"/>
      <c r="M11" s="168"/>
      <c r="N11" s="166"/>
      <c r="O11" s="166"/>
    </row>
    <row r="12" ht="24" customHeight="1" spans="1:15">
      <c r="A12" s="166">
        <v>9</v>
      </c>
      <c r="B12" s="166" t="s">
        <v>640</v>
      </c>
      <c r="C12" s="166" t="s">
        <v>641</v>
      </c>
      <c r="D12" s="166" t="s">
        <v>642</v>
      </c>
      <c r="E12" s="166" t="s">
        <v>643</v>
      </c>
      <c r="F12" s="166">
        <v>3</v>
      </c>
      <c r="G12" s="112">
        <v>4700</v>
      </c>
      <c r="H12" s="168">
        <f t="shared" si="0"/>
        <v>14100</v>
      </c>
      <c r="I12" s="168">
        <v>3290</v>
      </c>
      <c r="J12" s="168"/>
      <c r="K12" s="168"/>
      <c r="L12" s="168"/>
      <c r="M12" s="168"/>
      <c r="N12" s="166"/>
      <c r="O12" s="159"/>
    </row>
    <row r="13" ht="24" customHeight="1" spans="1:15">
      <c r="A13" s="166">
        <v>10</v>
      </c>
      <c r="B13" s="166"/>
      <c r="C13" s="166" t="s">
        <v>644</v>
      </c>
      <c r="D13" s="166"/>
      <c r="E13" s="166" t="s">
        <v>643</v>
      </c>
      <c r="F13" s="166">
        <v>3</v>
      </c>
      <c r="G13" s="112">
        <v>3600</v>
      </c>
      <c r="H13" s="168">
        <f t="shared" si="0"/>
        <v>10800</v>
      </c>
      <c r="I13" s="168">
        <v>2520</v>
      </c>
      <c r="J13" s="168"/>
      <c r="K13" s="168"/>
      <c r="L13" s="168"/>
      <c r="M13" s="168"/>
      <c r="N13" s="166"/>
      <c r="O13" s="159"/>
    </row>
    <row r="14" ht="24" customHeight="1" spans="1:15">
      <c r="A14" s="166">
        <v>11</v>
      </c>
      <c r="B14" s="166"/>
      <c r="C14" s="166" t="s">
        <v>645</v>
      </c>
      <c r="D14" s="166" t="s">
        <v>646</v>
      </c>
      <c r="E14" s="166" t="s">
        <v>209</v>
      </c>
      <c r="F14" s="166">
        <v>30</v>
      </c>
      <c r="G14" s="112">
        <v>970</v>
      </c>
      <c r="H14" s="168">
        <f t="shared" si="0"/>
        <v>29100</v>
      </c>
      <c r="I14" s="168">
        <v>679</v>
      </c>
      <c r="J14" s="168"/>
      <c r="K14" s="168"/>
      <c r="L14" s="168"/>
      <c r="M14" s="168"/>
      <c r="N14" s="166"/>
      <c r="O14" s="159"/>
    </row>
    <row r="15" ht="24" customHeight="1" spans="1:15">
      <c r="A15" s="166">
        <v>12</v>
      </c>
      <c r="B15" s="166"/>
      <c r="C15" s="166" t="s">
        <v>647</v>
      </c>
      <c r="D15" s="166" t="s">
        <v>648</v>
      </c>
      <c r="E15" s="166" t="s">
        <v>643</v>
      </c>
      <c r="F15" s="166">
        <v>3</v>
      </c>
      <c r="G15" s="112">
        <v>6000</v>
      </c>
      <c r="H15" s="168">
        <f t="shared" si="0"/>
        <v>18000</v>
      </c>
      <c r="I15" s="168">
        <v>4200</v>
      </c>
      <c r="J15" s="168"/>
      <c r="K15" s="168"/>
      <c r="L15" s="168"/>
      <c r="M15" s="168"/>
      <c r="N15" s="166"/>
      <c r="O15" s="159"/>
    </row>
    <row r="16" ht="24" customHeight="1" spans="1:15">
      <c r="A16" s="166">
        <v>24</v>
      </c>
      <c r="B16" s="166" t="s">
        <v>649</v>
      </c>
      <c r="C16" s="166" t="s">
        <v>650</v>
      </c>
      <c r="D16" s="166" t="s">
        <v>651</v>
      </c>
      <c r="E16" s="166" t="s">
        <v>652</v>
      </c>
      <c r="F16" s="166">
        <v>38</v>
      </c>
      <c r="G16" s="112">
        <v>1500</v>
      </c>
      <c r="H16" s="168">
        <f t="shared" si="0"/>
        <v>57000</v>
      </c>
      <c r="I16" s="168">
        <v>1050</v>
      </c>
      <c r="J16" s="168"/>
      <c r="K16" s="168"/>
      <c r="L16" s="168"/>
      <c r="M16" s="168"/>
      <c r="N16" s="166"/>
      <c r="O16" s="159"/>
    </row>
    <row r="17" ht="24" customHeight="1" spans="1:15">
      <c r="A17" s="166">
        <v>25</v>
      </c>
      <c r="B17" s="166"/>
      <c r="C17" s="166" t="s">
        <v>653</v>
      </c>
      <c r="D17" s="166"/>
      <c r="E17" s="166" t="s">
        <v>652</v>
      </c>
      <c r="F17" s="166">
        <v>38</v>
      </c>
      <c r="G17" s="112">
        <v>1000</v>
      </c>
      <c r="H17" s="168">
        <f t="shared" si="0"/>
        <v>38000</v>
      </c>
      <c r="I17" s="168">
        <v>700</v>
      </c>
      <c r="J17" s="168"/>
      <c r="K17" s="168"/>
      <c r="L17" s="168"/>
      <c r="M17" s="168"/>
      <c r="N17" s="166"/>
      <c r="O17" s="159"/>
    </row>
    <row r="18" ht="36" spans="1:15">
      <c r="A18" s="166">
        <v>26</v>
      </c>
      <c r="B18" s="166"/>
      <c r="C18" s="166" t="s">
        <v>654</v>
      </c>
      <c r="D18" s="166" t="s">
        <v>655</v>
      </c>
      <c r="E18" s="166" t="s">
        <v>643</v>
      </c>
      <c r="F18" s="166">
        <v>1</v>
      </c>
      <c r="G18" s="112">
        <f>800+800+1000+800</f>
        <v>3400</v>
      </c>
      <c r="H18" s="168">
        <f t="shared" si="0"/>
        <v>3400</v>
      </c>
      <c r="I18" s="168">
        <v>2380</v>
      </c>
      <c r="J18" s="168"/>
      <c r="K18" s="168"/>
      <c r="L18" s="168"/>
      <c r="M18" s="168"/>
      <c r="N18" s="166"/>
      <c r="O18" s="159"/>
    </row>
    <row r="19" ht="48" spans="1:15">
      <c r="A19" s="166">
        <v>27</v>
      </c>
      <c r="B19" s="166"/>
      <c r="C19" s="166" t="s">
        <v>656</v>
      </c>
      <c r="D19" s="166" t="s">
        <v>657</v>
      </c>
      <c r="E19" s="166" t="s">
        <v>217</v>
      </c>
      <c r="F19" s="166">
        <v>3</v>
      </c>
      <c r="G19" s="112">
        <v>1000</v>
      </c>
      <c r="H19" s="168">
        <f t="shared" si="0"/>
        <v>3000</v>
      </c>
      <c r="I19" s="168">
        <v>700</v>
      </c>
      <c r="J19" s="168"/>
      <c r="K19" s="168"/>
      <c r="L19" s="168"/>
      <c r="M19" s="168"/>
      <c r="N19" s="166"/>
      <c r="O19" s="166"/>
    </row>
    <row r="20" ht="24" customHeight="1" spans="1:15">
      <c r="A20" s="166">
        <v>28</v>
      </c>
      <c r="B20" s="166"/>
      <c r="C20" s="166" t="s">
        <v>658</v>
      </c>
      <c r="D20" s="166" t="s">
        <v>659</v>
      </c>
      <c r="E20" s="166" t="s">
        <v>62</v>
      </c>
      <c r="F20" s="166">
        <v>2</v>
      </c>
      <c r="G20" s="112">
        <v>150</v>
      </c>
      <c r="H20" s="168">
        <f t="shared" si="0"/>
        <v>300</v>
      </c>
      <c r="I20" s="168">
        <v>105</v>
      </c>
      <c r="J20" s="168"/>
      <c r="K20" s="168"/>
      <c r="L20" s="168"/>
      <c r="M20" s="168"/>
      <c r="N20" s="166"/>
      <c r="O20" s="159"/>
    </row>
    <row r="21" ht="24" customHeight="1" spans="1:15">
      <c r="A21" s="166">
        <v>29</v>
      </c>
      <c r="B21" s="166"/>
      <c r="C21" s="166" t="s">
        <v>660</v>
      </c>
      <c r="D21" s="166"/>
      <c r="E21" s="166" t="s">
        <v>62</v>
      </c>
      <c r="F21" s="166">
        <v>2</v>
      </c>
      <c r="G21" s="112">
        <v>150</v>
      </c>
      <c r="H21" s="168">
        <f t="shared" si="0"/>
        <v>300</v>
      </c>
      <c r="I21" s="168">
        <v>105</v>
      </c>
      <c r="J21" s="168"/>
      <c r="K21" s="168"/>
      <c r="L21" s="168"/>
      <c r="M21" s="168"/>
      <c r="N21" s="166"/>
      <c r="O21" s="159"/>
    </row>
    <row r="22" ht="24" customHeight="1" spans="1:15">
      <c r="A22" s="166">
        <v>30</v>
      </c>
      <c r="B22" s="175" t="s">
        <v>661</v>
      </c>
      <c r="C22" s="166" t="s">
        <v>662</v>
      </c>
      <c r="D22" s="166" t="s">
        <v>663</v>
      </c>
      <c r="E22" s="166" t="s">
        <v>62</v>
      </c>
      <c r="F22" s="166">
        <v>3</v>
      </c>
      <c r="G22" s="112">
        <v>14000</v>
      </c>
      <c r="H22" s="168">
        <f t="shared" si="0"/>
        <v>42000</v>
      </c>
      <c r="I22" s="168">
        <v>9800</v>
      </c>
      <c r="J22" s="168"/>
      <c r="K22" s="168"/>
      <c r="L22" s="168"/>
      <c r="M22" s="168"/>
      <c r="N22" s="166"/>
      <c r="O22" s="166"/>
    </row>
    <row r="23" ht="24" customHeight="1" spans="1:15">
      <c r="A23" s="166">
        <v>31</v>
      </c>
      <c r="B23" s="188"/>
      <c r="C23" s="166" t="s">
        <v>664</v>
      </c>
      <c r="D23" s="166"/>
      <c r="E23" s="166" t="s">
        <v>62</v>
      </c>
      <c r="F23" s="166">
        <v>3</v>
      </c>
      <c r="G23" s="112">
        <v>14000</v>
      </c>
      <c r="H23" s="168">
        <f t="shared" si="0"/>
        <v>42000</v>
      </c>
      <c r="I23" s="168">
        <v>9800</v>
      </c>
      <c r="J23" s="168"/>
      <c r="K23" s="168"/>
      <c r="L23" s="168"/>
      <c r="M23" s="168"/>
      <c r="N23" s="166"/>
      <c r="O23" s="166"/>
    </row>
    <row r="24" ht="36.95" customHeight="1" spans="1:15">
      <c r="A24" s="166">
        <v>32</v>
      </c>
      <c r="B24" s="188"/>
      <c r="C24" s="166" t="s">
        <v>665</v>
      </c>
      <c r="D24" s="166"/>
      <c r="E24" s="166" t="s">
        <v>62</v>
      </c>
      <c r="F24" s="166">
        <v>3</v>
      </c>
      <c r="G24" s="112">
        <v>14000</v>
      </c>
      <c r="H24" s="168">
        <f t="shared" si="0"/>
        <v>42000</v>
      </c>
      <c r="I24" s="168">
        <v>9800</v>
      </c>
      <c r="J24" s="168"/>
      <c r="K24" s="168"/>
      <c r="L24" s="168"/>
      <c r="M24" s="168"/>
      <c r="N24" s="166"/>
      <c r="O24" s="166"/>
    </row>
    <row r="25" ht="24" customHeight="1" spans="1:15">
      <c r="A25" s="166">
        <v>33</v>
      </c>
      <c r="B25" s="189"/>
      <c r="C25" s="166" t="s">
        <v>666</v>
      </c>
      <c r="D25" s="166" t="s">
        <v>667</v>
      </c>
      <c r="E25" s="166" t="s">
        <v>668</v>
      </c>
      <c r="F25" s="166">
        <v>28</v>
      </c>
      <c r="G25" s="112">
        <v>1400</v>
      </c>
      <c r="H25" s="168">
        <f t="shared" si="0"/>
        <v>39200</v>
      </c>
      <c r="I25" s="168">
        <v>980</v>
      </c>
      <c r="J25" s="168"/>
      <c r="K25" s="168"/>
      <c r="L25" s="168"/>
      <c r="M25" s="168"/>
      <c r="N25" s="166"/>
      <c r="O25" s="159"/>
    </row>
    <row r="26" ht="24" customHeight="1" spans="1:15">
      <c r="A26" s="95" t="s">
        <v>385</v>
      </c>
      <c r="B26" s="96"/>
      <c r="C26" s="96"/>
      <c r="D26" s="96"/>
      <c r="E26" s="96"/>
      <c r="F26" s="96"/>
      <c r="G26" s="97"/>
      <c r="H26" s="178">
        <f>SUM(H4:H25)</f>
        <v>454800</v>
      </c>
      <c r="I26" s="98"/>
      <c r="J26" s="178">
        <f>SUM(J4:J25)</f>
        <v>0</v>
      </c>
      <c r="K26" s="178"/>
      <c r="L26" s="178"/>
      <c r="M26" s="178"/>
      <c r="N26" s="190"/>
      <c r="O26" s="191"/>
    </row>
  </sheetData>
  <mergeCells count="14">
    <mergeCell ref="A1:O1"/>
    <mergeCell ref="C2:O2"/>
    <mergeCell ref="A26:G26"/>
    <mergeCell ref="B4:B8"/>
    <mergeCell ref="B10:B11"/>
    <mergeCell ref="B12:B15"/>
    <mergeCell ref="B16:B21"/>
    <mergeCell ref="B22:B25"/>
    <mergeCell ref="D4:D6"/>
    <mergeCell ref="D10:D11"/>
    <mergeCell ref="D12:D13"/>
    <mergeCell ref="D16:D17"/>
    <mergeCell ref="D20:D21"/>
    <mergeCell ref="D22:D24"/>
  </mergeCells>
  <pageMargins left="0.75" right="0.75" top="1" bottom="1" header="0.5" footer="0.5"/>
  <pageSetup paperSize="9" scale="4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P37"/>
  <sheetViews>
    <sheetView view="pageBreakPreview" zoomScaleNormal="100" workbookViewId="0">
      <pane ySplit="3" topLeftCell="A4" activePane="bottomLeft" state="frozen"/>
      <selection/>
      <selection pane="bottomLeft" activeCell="N15" sqref="N15"/>
    </sheetView>
  </sheetViews>
  <sheetFormatPr defaultColWidth="9" defaultRowHeight="14.25"/>
  <cols>
    <col min="1" max="1" width="5.125" style="140" customWidth="1"/>
    <col min="2" max="2" width="17.75" style="140" customWidth="1"/>
    <col min="3" max="3" width="28.875" style="140" customWidth="1"/>
    <col min="4" max="4" width="29.5" style="140" customWidth="1"/>
    <col min="5" max="5" width="15.75" style="140" customWidth="1"/>
    <col min="6" max="6" width="9.25" style="140" customWidth="1"/>
    <col min="7" max="7" width="10.625" style="140" hidden="1" customWidth="1"/>
    <col min="8" max="8" width="15.375" style="140" hidden="1" customWidth="1"/>
    <col min="9" max="9" width="9.25" style="140" customWidth="1"/>
    <col min="10" max="13" width="14" style="140" customWidth="1"/>
    <col min="14" max="14" width="15.25" style="140" customWidth="1"/>
    <col min="15" max="15" width="20.625" style="140" customWidth="1"/>
    <col min="16" max="16" width="9" style="3"/>
    <col min="17" max="19" width="9" style="140"/>
    <col min="20" max="21" width="9.25" style="140"/>
    <col min="22" max="16384" width="9" style="140"/>
  </cols>
  <sheetData>
    <row r="1" ht="27.95" customHeight="1" spans="1:15">
      <c r="A1" s="153" t="s">
        <v>669</v>
      </c>
      <c r="B1" s="153"/>
      <c r="C1" s="153"/>
      <c r="D1" s="153"/>
      <c r="E1" s="153"/>
      <c r="F1" s="153"/>
      <c r="G1" s="161"/>
      <c r="H1" s="153"/>
      <c r="I1" s="153"/>
      <c r="J1" s="153"/>
      <c r="K1" s="153"/>
      <c r="L1" s="153"/>
      <c r="M1" s="153"/>
      <c r="N1" s="161"/>
      <c r="O1" s="153"/>
    </row>
    <row r="2" ht="27.95" customHeight="1" spans="1:15">
      <c r="A2" s="162" t="str">
        <f>'9、节能与绿建检测'!C2</f>
        <v>工程名称：天河区凌塘村城中村改造项目-首开区复建安置房及配套设施工程第三方检测及监测技术服务</v>
      </c>
      <c r="B2" s="162"/>
      <c r="C2" s="162"/>
      <c r="D2" s="162"/>
      <c r="E2" s="162"/>
      <c r="F2" s="162"/>
      <c r="G2" s="162"/>
      <c r="H2" s="162"/>
      <c r="I2" s="162"/>
      <c r="J2" s="162"/>
      <c r="K2" s="162"/>
      <c r="L2" s="162"/>
      <c r="M2" s="162"/>
      <c r="N2" s="162"/>
      <c r="O2" s="162"/>
    </row>
    <row r="3" s="160" customFormat="1" ht="44.1" customHeight="1" spans="1:16">
      <c r="A3" s="163" t="s">
        <v>18</v>
      </c>
      <c r="B3" s="163" t="s">
        <v>13</v>
      </c>
      <c r="C3" s="163" t="s">
        <v>49</v>
      </c>
      <c r="D3" s="10" t="s">
        <v>50</v>
      </c>
      <c r="E3" s="163" t="s">
        <v>20</v>
      </c>
      <c r="F3" s="163" t="s">
        <v>51</v>
      </c>
      <c r="G3" s="10" t="s">
        <v>52</v>
      </c>
      <c r="H3" s="10" t="s">
        <v>53</v>
      </c>
      <c r="I3" s="10" t="str">
        <f>'9、节能与绿建检测'!I3</f>
        <v>全费用综合单价限价（元）</v>
      </c>
      <c r="J3" s="10" t="s">
        <v>55</v>
      </c>
      <c r="K3" s="10" t="s">
        <v>56</v>
      </c>
      <c r="L3" s="10" t="s">
        <v>57</v>
      </c>
      <c r="M3" s="10" t="s">
        <v>22</v>
      </c>
      <c r="N3" s="42" t="s">
        <v>11</v>
      </c>
      <c r="O3" s="179" t="s">
        <v>12</v>
      </c>
      <c r="P3" s="180"/>
    </row>
    <row r="4" ht="48" spans="1:15">
      <c r="A4" s="164">
        <v>1</v>
      </c>
      <c r="B4" s="165" t="s">
        <v>670</v>
      </c>
      <c r="C4" s="166" t="s">
        <v>671</v>
      </c>
      <c r="D4" s="164" t="s">
        <v>672</v>
      </c>
      <c r="E4" s="133" t="s">
        <v>673</v>
      </c>
      <c r="F4" s="166">
        <v>48</v>
      </c>
      <c r="G4" s="167">
        <v>300</v>
      </c>
      <c r="H4" s="168">
        <f>G4*F4</f>
        <v>14400</v>
      </c>
      <c r="I4" s="168">
        <v>210</v>
      </c>
      <c r="J4" s="168"/>
      <c r="K4" s="168"/>
      <c r="L4" s="168"/>
      <c r="M4" s="168"/>
      <c r="N4" s="43"/>
      <c r="O4" s="164"/>
    </row>
    <row r="5" ht="27" customHeight="1" spans="1:15">
      <c r="A5" s="164">
        <v>2</v>
      </c>
      <c r="B5" s="169"/>
      <c r="C5" s="166" t="s">
        <v>674</v>
      </c>
      <c r="D5" s="164" t="s">
        <v>675</v>
      </c>
      <c r="E5" s="133" t="s">
        <v>643</v>
      </c>
      <c r="F5" s="166">
        <v>1</v>
      </c>
      <c r="G5" s="167">
        <v>3000</v>
      </c>
      <c r="H5" s="168">
        <f t="shared" ref="H5:H36" si="0">G5*F5</f>
        <v>3000</v>
      </c>
      <c r="I5" s="168">
        <v>2100</v>
      </c>
      <c r="J5" s="168"/>
      <c r="K5" s="168"/>
      <c r="L5" s="168"/>
      <c r="M5" s="168"/>
      <c r="N5" s="43"/>
      <c r="O5" s="164"/>
    </row>
    <row r="6" ht="27" customHeight="1" spans="1:16">
      <c r="A6" s="164">
        <v>3</v>
      </c>
      <c r="B6" s="166" t="s">
        <v>676</v>
      </c>
      <c r="C6" s="166" t="s">
        <v>677</v>
      </c>
      <c r="D6" s="164" t="s">
        <v>678</v>
      </c>
      <c r="E6" s="133" t="s">
        <v>679</v>
      </c>
      <c r="F6" s="166">
        <v>60</v>
      </c>
      <c r="G6" s="167">
        <v>80</v>
      </c>
      <c r="H6" s="168">
        <f t="shared" si="0"/>
        <v>4800</v>
      </c>
      <c r="I6" s="168">
        <v>56</v>
      </c>
      <c r="J6" s="168"/>
      <c r="K6" s="168"/>
      <c r="L6" s="168"/>
      <c r="M6" s="168"/>
      <c r="N6" s="43"/>
      <c r="O6" s="164"/>
      <c r="P6" s="140"/>
    </row>
    <row r="7" ht="36" spans="1:15">
      <c r="A7" s="164">
        <v>4</v>
      </c>
      <c r="B7" s="166"/>
      <c r="C7" s="166" t="s">
        <v>680</v>
      </c>
      <c r="D7" s="164" t="s">
        <v>681</v>
      </c>
      <c r="E7" s="133" t="s">
        <v>682</v>
      </c>
      <c r="F7" s="166">
        <v>20</v>
      </c>
      <c r="G7" s="167">
        <v>60</v>
      </c>
      <c r="H7" s="168">
        <f t="shared" si="0"/>
        <v>1200</v>
      </c>
      <c r="I7" s="168">
        <v>42</v>
      </c>
      <c r="J7" s="168"/>
      <c r="K7" s="168"/>
      <c r="L7" s="168"/>
      <c r="M7" s="168"/>
      <c r="N7" s="43"/>
      <c r="O7" s="164"/>
    </row>
    <row r="8" ht="36" spans="1:15">
      <c r="A8" s="164">
        <v>5</v>
      </c>
      <c r="B8" s="170" t="s">
        <v>683</v>
      </c>
      <c r="C8" s="166" t="s">
        <v>684</v>
      </c>
      <c r="D8" s="164" t="s">
        <v>685</v>
      </c>
      <c r="E8" s="133" t="s">
        <v>427</v>
      </c>
      <c r="F8" s="166">
        <v>40</v>
      </c>
      <c r="G8" s="167">
        <v>200</v>
      </c>
      <c r="H8" s="168">
        <f t="shared" si="0"/>
        <v>8000</v>
      </c>
      <c r="I8" s="168">
        <v>140</v>
      </c>
      <c r="J8" s="168"/>
      <c r="K8" s="168"/>
      <c r="L8" s="168"/>
      <c r="M8" s="168"/>
      <c r="N8" s="43"/>
      <c r="O8" s="61"/>
    </row>
    <row r="9" ht="27" customHeight="1" spans="1:15">
      <c r="A9" s="164">
        <v>6</v>
      </c>
      <c r="B9" s="166" t="s">
        <v>686</v>
      </c>
      <c r="C9" s="166" t="s">
        <v>687</v>
      </c>
      <c r="D9" s="164" t="s">
        <v>688</v>
      </c>
      <c r="E9" s="133" t="s">
        <v>609</v>
      </c>
      <c r="F9" s="166">
        <v>40</v>
      </c>
      <c r="G9" s="167">
        <v>600</v>
      </c>
      <c r="H9" s="168">
        <f t="shared" si="0"/>
        <v>24000</v>
      </c>
      <c r="I9" s="168">
        <v>420</v>
      </c>
      <c r="J9" s="168"/>
      <c r="K9" s="168"/>
      <c r="L9" s="168"/>
      <c r="M9" s="168"/>
      <c r="N9" s="43"/>
      <c r="O9" s="164"/>
    </row>
    <row r="10" ht="27" customHeight="1" spans="1:15">
      <c r="A10" s="164">
        <v>7</v>
      </c>
      <c r="B10" s="166"/>
      <c r="C10" s="166" t="s">
        <v>689</v>
      </c>
      <c r="D10" s="164"/>
      <c r="E10" s="133" t="s">
        <v>643</v>
      </c>
      <c r="F10" s="166">
        <v>1</v>
      </c>
      <c r="G10" s="167">
        <v>2000</v>
      </c>
      <c r="H10" s="168">
        <f t="shared" si="0"/>
        <v>2000</v>
      </c>
      <c r="I10" s="168">
        <v>1400</v>
      </c>
      <c r="J10" s="168"/>
      <c r="K10" s="168"/>
      <c r="L10" s="168"/>
      <c r="M10" s="168"/>
      <c r="N10" s="43"/>
      <c r="O10" s="164"/>
    </row>
    <row r="11" ht="27" customHeight="1" spans="1:15">
      <c r="A11" s="164">
        <v>8</v>
      </c>
      <c r="B11" s="166" t="s">
        <v>690</v>
      </c>
      <c r="C11" s="166" t="s">
        <v>691</v>
      </c>
      <c r="D11" s="164" t="s">
        <v>692</v>
      </c>
      <c r="E11" s="133" t="s">
        <v>609</v>
      </c>
      <c r="F11" s="166">
        <v>5</v>
      </c>
      <c r="G11" s="167">
        <v>300</v>
      </c>
      <c r="H11" s="168">
        <f t="shared" si="0"/>
        <v>1500</v>
      </c>
      <c r="I11" s="168">
        <v>210</v>
      </c>
      <c r="J11" s="168"/>
      <c r="K11" s="168"/>
      <c r="L11" s="168"/>
      <c r="M11" s="168"/>
      <c r="N11" s="43"/>
      <c r="O11" s="164"/>
    </row>
    <row r="12" ht="27" customHeight="1" spans="1:15">
      <c r="A12" s="164">
        <v>9</v>
      </c>
      <c r="B12" s="166"/>
      <c r="C12" s="166" t="s">
        <v>693</v>
      </c>
      <c r="D12" s="164"/>
      <c r="E12" s="133" t="s">
        <v>643</v>
      </c>
      <c r="F12" s="164">
        <v>1</v>
      </c>
      <c r="G12" s="167">
        <v>2000</v>
      </c>
      <c r="H12" s="168">
        <f t="shared" si="0"/>
        <v>2000</v>
      </c>
      <c r="I12" s="168">
        <v>1400</v>
      </c>
      <c r="J12" s="168"/>
      <c r="K12" s="168"/>
      <c r="L12" s="168"/>
      <c r="M12" s="168"/>
      <c r="N12" s="43"/>
      <c r="O12" s="164"/>
    </row>
    <row r="13" ht="27" customHeight="1" spans="1:15">
      <c r="A13" s="164">
        <v>10</v>
      </c>
      <c r="B13" s="166" t="s">
        <v>694</v>
      </c>
      <c r="C13" s="166" t="s">
        <v>695</v>
      </c>
      <c r="D13" s="164" t="s">
        <v>696</v>
      </c>
      <c r="E13" s="133" t="s">
        <v>609</v>
      </c>
      <c r="F13" s="166">
        <v>5</v>
      </c>
      <c r="G13" s="167">
        <v>250</v>
      </c>
      <c r="H13" s="168">
        <f t="shared" si="0"/>
        <v>1250</v>
      </c>
      <c r="I13" s="168">
        <v>175</v>
      </c>
      <c r="J13" s="168"/>
      <c r="K13" s="168"/>
      <c r="L13" s="168"/>
      <c r="M13" s="168"/>
      <c r="N13" s="43"/>
      <c r="O13" s="164"/>
    </row>
    <row r="14" ht="27" customHeight="1" spans="1:15">
      <c r="A14" s="164">
        <v>11</v>
      </c>
      <c r="B14" s="166"/>
      <c r="C14" s="166" t="s">
        <v>697</v>
      </c>
      <c r="D14" s="164"/>
      <c r="E14" s="133" t="s">
        <v>643</v>
      </c>
      <c r="F14" s="166">
        <v>1</v>
      </c>
      <c r="G14" s="167">
        <v>2000</v>
      </c>
      <c r="H14" s="168">
        <f t="shared" si="0"/>
        <v>2000</v>
      </c>
      <c r="I14" s="168">
        <v>1400</v>
      </c>
      <c r="J14" s="168"/>
      <c r="K14" s="168"/>
      <c r="L14" s="168"/>
      <c r="M14" s="168"/>
      <c r="N14" s="43"/>
      <c r="O14" s="164"/>
    </row>
    <row r="15" ht="27" customHeight="1" spans="1:15">
      <c r="A15" s="164">
        <v>12</v>
      </c>
      <c r="B15" s="166" t="s">
        <v>698</v>
      </c>
      <c r="C15" s="166" t="s">
        <v>699</v>
      </c>
      <c r="D15" s="164" t="s">
        <v>700</v>
      </c>
      <c r="E15" s="133" t="s">
        <v>427</v>
      </c>
      <c r="F15" s="166">
        <v>10</v>
      </c>
      <c r="G15" s="167">
        <v>120</v>
      </c>
      <c r="H15" s="168">
        <f t="shared" si="0"/>
        <v>1200</v>
      </c>
      <c r="I15" s="168">
        <v>84</v>
      </c>
      <c r="J15" s="168"/>
      <c r="K15" s="168"/>
      <c r="L15" s="168"/>
      <c r="M15" s="168"/>
      <c r="N15" s="43"/>
      <c r="O15" s="164"/>
    </row>
    <row r="16" ht="27" customHeight="1" spans="1:15">
      <c r="A16" s="164">
        <v>13</v>
      </c>
      <c r="B16" s="166"/>
      <c r="C16" s="166" t="s">
        <v>701</v>
      </c>
      <c r="D16" s="164"/>
      <c r="E16" s="133" t="s">
        <v>643</v>
      </c>
      <c r="F16" s="166">
        <v>1</v>
      </c>
      <c r="G16" s="167">
        <v>2000</v>
      </c>
      <c r="H16" s="168">
        <f t="shared" si="0"/>
        <v>2000</v>
      </c>
      <c r="I16" s="168">
        <v>1400</v>
      </c>
      <c r="J16" s="168"/>
      <c r="K16" s="168"/>
      <c r="L16" s="168"/>
      <c r="M16" s="168"/>
      <c r="N16" s="43"/>
      <c r="O16" s="164"/>
    </row>
    <row r="17" ht="27" customHeight="1" spans="1:15">
      <c r="A17" s="164">
        <v>14</v>
      </c>
      <c r="B17" s="166" t="s">
        <v>702</v>
      </c>
      <c r="C17" s="166" t="s">
        <v>703</v>
      </c>
      <c r="D17" s="164" t="s">
        <v>704</v>
      </c>
      <c r="E17" s="166" t="s">
        <v>609</v>
      </c>
      <c r="F17" s="166">
        <v>4</v>
      </c>
      <c r="G17" s="167">
        <v>600</v>
      </c>
      <c r="H17" s="168">
        <f t="shared" si="0"/>
        <v>2400</v>
      </c>
      <c r="I17" s="168">
        <v>420</v>
      </c>
      <c r="J17" s="168"/>
      <c r="K17" s="168"/>
      <c r="L17" s="168"/>
      <c r="M17" s="168"/>
      <c r="N17" s="43"/>
      <c r="O17" s="164"/>
    </row>
    <row r="18" ht="27" customHeight="1" spans="1:15">
      <c r="A18" s="164">
        <v>15</v>
      </c>
      <c r="B18" s="166"/>
      <c r="C18" s="166" t="s">
        <v>702</v>
      </c>
      <c r="D18" s="164"/>
      <c r="E18" s="133" t="s">
        <v>643</v>
      </c>
      <c r="F18" s="166">
        <v>1</v>
      </c>
      <c r="G18" s="167">
        <v>2000</v>
      </c>
      <c r="H18" s="168">
        <f t="shared" si="0"/>
        <v>2000</v>
      </c>
      <c r="I18" s="168">
        <v>1400</v>
      </c>
      <c r="J18" s="168"/>
      <c r="K18" s="168"/>
      <c r="L18" s="168"/>
      <c r="M18" s="168"/>
      <c r="N18" s="43"/>
      <c r="O18" s="164"/>
    </row>
    <row r="19" ht="27" customHeight="1" spans="1:15">
      <c r="A19" s="164">
        <v>16</v>
      </c>
      <c r="B19" s="166" t="s">
        <v>705</v>
      </c>
      <c r="C19" s="166" t="s">
        <v>706</v>
      </c>
      <c r="D19" s="164" t="s">
        <v>707</v>
      </c>
      <c r="E19" s="133" t="s">
        <v>609</v>
      </c>
      <c r="F19" s="166">
        <v>80</v>
      </c>
      <c r="G19" s="167">
        <v>150</v>
      </c>
      <c r="H19" s="168">
        <f t="shared" si="0"/>
        <v>12000</v>
      </c>
      <c r="I19" s="168">
        <v>105</v>
      </c>
      <c r="J19" s="168"/>
      <c r="K19" s="168"/>
      <c r="L19" s="168"/>
      <c r="M19" s="168"/>
      <c r="N19" s="43"/>
      <c r="O19" s="164"/>
    </row>
    <row r="20" ht="27" customHeight="1" spans="1:15">
      <c r="A20" s="164">
        <v>17</v>
      </c>
      <c r="B20" s="166"/>
      <c r="C20" s="166" t="s">
        <v>708</v>
      </c>
      <c r="D20" s="164"/>
      <c r="E20" s="133" t="s">
        <v>609</v>
      </c>
      <c r="F20" s="166">
        <v>56</v>
      </c>
      <c r="G20" s="167">
        <v>200</v>
      </c>
      <c r="H20" s="168">
        <f t="shared" si="0"/>
        <v>11200</v>
      </c>
      <c r="I20" s="168">
        <v>140</v>
      </c>
      <c r="J20" s="168"/>
      <c r="K20" s="168"/>
      <c r="L20" s="168"/>
      <c r="M20" s="168"/>
      <c r="N20" s="43"/>
      <c r="O20" s="164"/>
    </row>
    <row r="21" ht="27" customHeight="1" spans="1:15">
      <c r="A21" s="164">
        <v>18</v>
      </c>
      <c r="B21" s="166"/>
      <c r="C21" s="166" t="s">
        <v>709</v>
      </c>
      <c r="D21" s="164"/>
      <c r="E21" s="133" t="s">
        <v>609</v>
      </c>
      <c r="F21" s="84">
        <v>1</v>
      </c>
      <c r="G21" s="147">
        <v>1000</v>
      </c>
      <c r="H21" s="168">
        <f t="shared" si="0"/>
        <v>1000</v>
      </c>
      <c r="I21" s="168">
        <v>700</v>
      </c>
      <c r="J21" s="168"/>
      <c r="K21" s="168"/>
      <c r="L21" s="168"/>
      <c r="M21" s="168"/>
      <c r="N21" s="43"/>
      <c r="O21" s="164"/>
    </row>
    <row r="22" ht="27" customHeight="1" spans="1:15">
      <c r="A22" s="164">
        <v>19</v>
      </c>
      <c r="B22" s="166"/>
      <c r="C22" s="166" t="s">
        <v>710</v>
      </c>
      <c r="D22" s="164"/>
      <c r="E22" s="133" t="s">
        <v>643</v>
      </c>
      <c r="F22" s="84">
        <v>1</v>
      </c>
      <c r="G22" s="147">
        <v>1000</v>
      </c>
      <c r="H22" s="168">
        <f t="shared" si="0"/>
        <v>1000</v>
      </c>
      <c r="I22" s="168">
        <v>700</v>
      </c>
      <c r="J22" s="168"/>
      <c r="K22" s="168"/>
      <c r="L22" s="168"/>
      <c r="M22" s="168"/>
      <c r="N22" s="43"/>
      <c r="O22" s="164"/>
    </row>
    <row r="23" ht="48" spans="1:15">
      <c r="A23" s="164">
        <v>20</v>
      </c>
      <c r="B23" s="31" t="s">
        <v>711</v>
      </c>
      <c r="C23" s="31" t="s">
        <v>712</v>
      </c>
      <c r="D23" s="164" t="s">
        <v>713</v>
      </c>
      <c r="E23" s="31" t="s">
        <v>714</v>
      </c>
      <c r="F23" s="84">
        <v>5</v>
      </c>
      <c r="G23" s="147">
        <v>4000</v>
      </c>
      <c r="H23" s="168">
        <f t="shared" si="0"/>
        <v>20000</v>
      </c>
      <c r="I23" s="168">
        <v>2800</v>
      </c>
      <c r="J23" s="168"/>
      <c r="K23" s="168"/>
      <c r="L23" s="168"/>
      <c r="M23" s="168"/>
      <c r="N23" s="31"/>
      <c r="O23" s="84"/>
    </row>
    <row r="24" ht="36" spans="1:15">
      <c r="A24" s="164">
        <v>21</v>
      </c>
      <c r="B24" s="31"/>
      <c r="C24" s="166" t="s">
        <v>715</v>
      </c>
      <c r="D24" s="164" t="s">
        <v>716</v>
      </c>
      <c r="E24" s="31" t="s">
        <v>643</v>
      </c>
      <c r="F24" s="31">
        <v>1</v>
      </c>
      <c r="G24" s="147">
        <v>1000</v>
      </c>
      <c r="H24" s="168">
        <f t="shared" si="0"/>
        <v>1000</v>
      </c>
      <c r="I24" s="168">
        <v>700</v>
      </c>
      <c r="J24" s="168"/>
      <c r="K24" s="168"/>
      <c r="L24" s="168"/>
      <c r="M24" s="168"/>
      <c r="N24" s="31"/>
      <c r="O24" s="84"/>
    </row>
    <row r="25" ht="27" customHeight="1" spans="1:15">
      <c r="A25" s="164">
        <v>22</v>
      </c>
      <c r="B25" s="31" t="s">
        <v>717</v>
      </c>
      <c r="C25" s="166" t="s">
        <v>718</v>
      </c>
      <c r="D25" s="164" t="s">
        <v>719</v>
      </c>
      <c r="E25" s="133" t="s">
        <v>609</v>
      </c>
      <c r="F25" s="166">
        <v>5</v>
      </c>
      <c r="G25" s="147">
        <v>1500</v>
      </c>
      <c r="H25" s="168">
        <f t="shared" si="0"/>
        <v>7500</v>
      </c>
      <c r="I25" s="168">
        <v>1050</v>
      </c>
      <c r="J25" s="168"/>
      <c r="K25" s="168"/>
      <c r="L25" s="168"/>
      <c r="M25" s="168"/>
      <c r="N25" s="31"/>
      <c r="O25" s="133"/>
    </row>
    <row r="26" ht="27" customHeight="1" spans="1:15">
      <c r="A26" s="164">
        <v>23</v>
      </c>
      <c r="B26" s="31"/>
      <c r="C26" s="84" t="s">
        <v>720</v>
      </c>
      <c r="D26" s="164"/>
      <c r="E26" s="84" t="s">
        <v>643</v>
      </c>
      <c r="F26" s="84">
        <v>1</v>
      </c>
      <c r="G26" s="147">
        <v>1500</v>
      </c>
      <c r="H26" s="168">
        <f t="shared" si="0"/>
        <v>1500</v>
      </c>
      <c r="I26" s="168">
        <v>1050</v>
      </c>
      <c r="J26" s="168"/>
      <c r="K26" s="168"/>
      <c r="L26" s="168"/>
      <c r="M26" s="168"/>
      <c r="N26" s="31"/>
      <c r="O26" s="84"/>
    </row>
    <row r="27" ht="27" customHeight="1" spans="1:15">
      <c r="A27" s="164">
        <v>24</v>
      </c>
      <c r="B27" s="31" t="s">
        <v>721</v>
      </c>
      <c r="C27" s="166" t="s">
        <v>722</v>
      </c>
      <c r="D27" s="164" t="s">
        <v>723</v>
      </c>
      <c r="E27" s="133" t="s">
        <v>609</v>
      </c>
      <c r="F27" s="166">
        <v>10</v>
      </c>
      <c r="G27" s="147">
        <v>500</v>
      </c>
      <c r="H27" s="168">
        <f t="shared" si="0"/>
        <v>5000</v>
      </c>
      <c r="I27" s="168">
        <v>350</v>
      </c>
      <c r="J27" s="168"/>
      <c r="K27" s="168"/>
      <c r="L27" s="168"/>
      <c r="M27" s="168"/>
      <c r="N27" s="31"/>
      <c r="O27" s="84"/>
    </row>
    <row r="28" ht="27" customHeight="1" spans="1:15">
      <c r="A28" s="164">
        <v>25</v>
      </c>
      <c r="B28" s="31"/>
      <c r="C28" s="166" t="s">
        <v>724</v>
      </c>
      <c r="D28" s="164"/>
      <c r="E28" s="133" t="s">
        <v>609</v>
      </c>
      <c r="F28" s="166">
        <v>20</v>
      </c>
      <c r="G28" s="147">
        <v>500</v>
      </c>
      <c r="H28" s="168">
        <f t="shared" si="0"/>
        <v>10000</v>
      </c>
      <c r="I28" s="168">
        <v>350</v>
      </c>
      <c r="J28" s="168"/>
      <c r="K28" s="168"/>
      <c r="L28" s="168"/>
      <c r="M28" s="168"/>
      <c r="N28" s="31"/>
      <c r="O28" s="84"/>
    </row>
    <row r="29" ht="27" customHeight="1" spans="1:15">
      <c r="A29" s="164">
        <v>26</v>
      </c>
      <c r="B29" s="31"/>
      <c r="C29" s="166" t="s">
        <v>725</v>
      </c>
      <c r="D29" s="164"/>
      <c r="E29" s="133" t="s">
        <v>25</v>
      </c>
      <c r="F29" s="166">
        <v>1</v>
      </c>
      <c r="G29" s="147">
        <v>500</v>
      </c>
      <c r="H29" s="168">
        <f t="shared" si="0"/>
        <v>500</v>
      </c>
      <c r="I29" s="168">
        <v>350</v>
      </c>
      <c r="J29" s="168"/>
      <c r="K29" s="168"/>
      <c r="L29" s="168"/>
      <c r="M29" s="168"/>
      <c r="N29" s="31"/>
      <c r="O29" s="84"/>
    </row>
    <row r="30" ht="27" customHeight="1" spans="1:15">
      <c r="A30" s="164">
        <v>27</v>
      </c>
      <c r="B30" s="171" t="s">
        <v>726</v>
      </c>
      <c r="C30" s="166" t="s">
        <v>556</v>
      </c>
      <c r="D30" s="172" t="s">
        <v>727</v>
      </c>
      <c r="E30" s="133" t="s">
        <v>609</v>
      </c>
      <c r="F30" s="166">
        <v>5</v>
      </c>
      <c r="G30" s="147">
        <v>1000</v>
      </c>
      <c r="H30" s="168">
        <f t="shared" si="0"/>
        <v>5000</v>
      </c>
      <c r="I30" s="168">
        <v>700</v>
      </c>
      <c r="J30" s="168"/>
      <c r="K30" s="168"/>
      <c r="L30" s="168"/>
      <c r="M30" s="168"/>
      <c r="N30" s="43"/>
      <c r="O30" s="84"/>
    </row>
    <row r="31" ht="27" customHeight="1" spans="1:15">
      <c r="A31" s="164">
        <v>28</v>
      </c>
      <c r="B31" s="173"/>
      <c r="C31" s="166" t="s">
        <v>728</v>
      </c>
      <c r="D31" s="174"/>
      <c r="E31" s="133" t="s">
        <v>609</v>
      </c>
      <c r="F31" s="166">
        <v>5</v>
      </c>
      <c r="G31" s="147">
        <v>1000</v>
      </c>
      <c r="H31" s="168">
        <f t="shared" si="0"/>
        <v>5000</v>
      </c>
      <c r="I31" s="168">
        <v>700</v>
      </c>
      <c r="J31" s="168"/>
      <c r="K31" s="168"/>
      <c r="L31" s="168"/>
      <c r="M31" s="168"/>
      <c r="N31" s="43"/>
      <c r="O31" s="84"/>
    </row>
    <row r="32" ht="36" spans="1:15">
      <c r="A32" s="164">
        <v>29</v>
      </c>
      <c r="B32" s="166" t="s">
        <v>729</v>
      </c>
      <c r="C32" s="166" t="s">
        <v>730</v>
      </c>
      <c r="D32" s="164" t="s">
        <v>731</v>
      </c>
      <c r="E32" s="133" t="s">
        <v>732</v>
      </c>
      <c r="F32" s="166">
        <v>1</v>
      </c>
      <c r="G32" s="167">
        <v>5000</v>
      </c>
      <c r="H32" s="168">
        <f t="shared" si="0"/>
        <v>5000</v>
      </c>
      <c r="I32" s="168">
        <v>3500</v>
      </c>
      <c r="J32" s="168"/>
      <c r="K32" s="168"/>
      <c r="L32" s="168"/>
      <c r="M32" s="168"/>
      <c r="N32" s="43"/>
      <c r="O32" s="84"/>
    </row>
    <row r="33" ht="36" spans="1:15">
      <c r="A33" s="164">
        <v>30</v>
      </c>
      <c r="B33" s="166" t="s">
        <v>733</v>
      </c>
      <c r="C33" s="166" t="s">
        <v>734</v>
      </c>
      <c r="D33" s="164" t="s">
        <v>735</v>
      </c>
      <c r="E33" s="133" t="s">
        <v>643</v>
      </c>
      <c r="F33" s="166">
        <v>1</v>
      </c>
      <c r="G33" s="167">
        <v>800</v>
      </c>
      <c r="H33" s="168">
        <f t="shared" si="0"/>
        <v>800</v>
      </c>
      <c r="I33" s="168">
        <v>560</v>
      </c>
      <c r="J33" s="168"/>
      <c r="K33" s="168"/>
      <c r="L33" s="168"/>
      <c r="M33" s="168"/>
      <c r="N33" s="43"/>
      <c r="O33" s="84"/>
    </row>
    <row r="34" ht="36" spans="1:15">
      <c r="A34" s="164">
        <v>31</v>
      </c>
      <c r="B34" s="166" t="s">
        <v>736</v>
      </c>
      <c r="C34" s="166" t="s">
        <v>736</v>
      </c>
      <c r="D34" s="164" t="s">
        <v>737</v>
      </c>
      <c r="E34" s="133" t="s">
        <v>643</v>
      </c>
      <c r="F34" s="166">
        <v>1</v>
      </c>
      <c r="G34" s="167">
        <v>5000</v>
      </c>
      <c r="H34" s="168">
        <f t="shared" si="0"/>
        <v>5000</v>
      </c>
      <c r="I34" s="168">
        <v>3500</v>
      </c>
      <c r="J34" s="168"/>
      <c r="K34" s="168"/>
      <c r="L34" s="168"/>
      <c r="M34" s="168"/>
      <c r="N34" s="43"/>
      <c r="O34" s="84"/>
    </row>
    <row r="35" ht="24" spans="1:15">
      <c r="A35" s="164">
        <v>32</v>
      </c>
      <c r="B35" s="166" t="s">
        <v>738</v>
      </c>
      <c r="C35" s="166" t="s">
        <v>739</v>
      </c>
      <c r="D35" s="164" t="s">
        <v>740</v>
      </c>
      <c r="E35" s="133" t="s">
        <v>679</v>
      </c>
      <c r="F35" s="166">
        <v>1602</v>
      </c>
      <c r="G35" s="167">
        <v>80</v>
      </c>
      <c r="H35" s="168">
        <f t="shared" si="0"/>
        <v>128160</v>
      </c>
      <c r="I35" s="168">
        <v>56</v>
      </c>
      <c r="J35" s="168"/>
      <c r="K35" s="168"/>
      <c r="L35" s="168"/>
      <c r="M35" s="168"/>
      <c r="N35" s="43"/>
      <c r="O35" s="84"/>
    </row>
    <row r="36" ht="27" customHeight="1" spans="1:15">
      <c r="A36" s="172">
        <v>33</v>
      </c>
      <c r="B36" s="175"/>
      <c r="C36" s="175" t="s">
        <v>741</v>
      </c>
      <c r="D36" s="172" t="s">
        <v>742</v>
      </c>
      <c r="E36" s="127" t="s">
        <v>743</v>
      </c>
      <c r="F36" s="175">
        <v>119126.43</v>
      </c>
      <c r="G36" s="176">
        <v>1.2</v>
      </c>
      <c r="H36" s="177">
        <f t="shared" si="0"/>
        <v>142951.716</v>
      </c>
      <c r="I36" s="177">
        <v>0.84</v>
      </c>
      <c r="J36" s="177"/>
      <c r="K36" s="177"/>
      <c r="L36" s="177"/>
      <c r="M36" s="177"/>
      <c r="N36" s="181"/>
      <c r="O36" s="91"/>
    </row>
    <row r="37" ht="20.1" customHeight="1" spans="1:15">
      <c r="A37" s="155" t="s">
        <v>385</v>
      </c>
      <c r="B37" s="155"/>
      <c r="C37" s="155"/>
      <c r="D37" s="155"/>
      <c r="E37" s="155"/>
      <c r="F37" s="155"/>
      <c r="G37" s="155"/>
      <c r="H37" s="178">
        <f>SUM(H4:H36)</f>
        <v>434361.716</v>
      </c>
      <c r="I37" s="98"/>
      <c r="J37" s="178">
        <f>SUM(J4:J36)</f>
        <v>0</v>
      </c>
      <c r="K37" s="178"/>
      <c r="L37" s="178"/>
      <c r="M37" s="178"/>
      <c r="N37" s="84"/>
      <c r="O37" s="84"/>
    </row>
  </sheetData>
  <autoFilter xmlns:etc="http://www.wps.cn/officeDocument/2017/etCustomData" ref="A3:P37" etc:filterBottomFollowUsedRange="0">
    <extLst/>
  </autoFilter>
  <mergeCells count="25">
    <mergeCell ref="A1:O1"/>
    <mergeCell ref="A2:O2"/>
    <mergeCell ref="A37:G37"/>
    <mergeCell ref="B4:B5"/>
    <mergeCell ref="B6:B7"/>
    <mergeCell ref="B9:B10"/>
    <mergeCell ref="B11:B12"/>
    <mergeCell ref="B13:B14"/>
    <mergeCell ref="B15:B16"/>
    <mergeCell ref="B17:B18"/>
    <mergeCell ref="B19:B22"/>
    <mergeCell ref="B23:B24"/>
    <mergeCell ref="B25:B26"/>
    <mergeCell ref="B27:B29"/>
    <mergeCell ref="B30:B31"/>
    <mergeCell ref="B35:B36"/>
    <mergeCell ref="D9:D10"/>
    <mergeCell ref="D11:D12"/>
    <mergeCell ref="D13:D14"/>
    <mergeCell ref="D15:D16"/>
    <mergeCell ref="D17:D18"/>
    <mergeCell ref="D19:D22"/>
    <mergeCell ref="D25:D26"/>
    <mergeCell ref="D27:D29"/>
    <mergeCell ref="D30:D31"/>
  </mergeCells>
  <pageMargins left="0.75" right="0.75" top="1" bottom="1" header="0.5" footer="0.5"/>
  <pageSetup paperSize="9" scale="42"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M5"/>
  <sheetViews>
    <sheetView view="pageBreakPreview" zoomScaleNormal="100" workbookViewId="0">
      <selection activeCell="M4" sqref="M4"/>
    </sheetView>
  </sheetViews>
  <sheetFormatPr defaultColWidth="9" defaultRowHeight="14.25" outlineLevelRow="4"/>
  <cols>
    <col min="1" max="1" width="9" style="3"/>
    <col min="2" max="2" width="28.625" style="3" customWidth="1"/>
    <col min="3" max="3" width="18.375" style="3" customWidth="1"/>
    <col min="4" max="4" width="12.25" style="3" customWidth="1"/>
    <col min="5" max="5" width="12.25" style="3" hidden="1" customWidth="1"/>
    <col min="6" max="6" width="15.875" style="3" hidden="1" customWidth="1"/>
    <col min="7" max="7" width="12.25" style="152" customWidth="1"/>
    <col min="8" max="11" width="14.25" style="152" customWidth="1"/>
    <col min="12" max="12" width="15.875" style="3" customWidth="1"/>
    <col min="13" max="13" width="12.25" style="3" customWidth="1"/>
    <col min="14" max="16384" width="9" style="3"/>
  </cols>
  <sheetData>
    <row r="1" ht="24" customHeight="1" spans="1:13">
      <c r="A1" s="153" t="s">
        <v>744</v>
      </c>
      <c r="B1" s="153"/>
      <c r="C1" s="153"/>
      <c r="D1" s="153"/>
      <c r="E1" s="153"/>
      <c r="F1" s="153"/>
      <c r="G1" s="154"/>
      <c r="H1" s="154"/>
      <c r="I1" s="154"/>
      <c r="J1" s="154"/>
      <c r="K1" s="154"/>
      <c r="L1" s="153"/>
      <c r="M1" s="153"/>
    </row>
    <row r="2" ht="24" customHeight="1" spans="1:13">
      <c r="A2" s="1" t="str">
        <f>'10、智能检测'!A2</f>
        <v>工程名称：天河区凌塘村城中村改造项目-首开区复建安置房及配套设施工程第三方检测及监测技术服务</v>
      </c>
      <c r="B2" s="1"/>
      <c r="C2" s="1"/>
      <c r="D2" s="1"/>
      <c r="E2" s="1"/>
      <c r="F2" s="1"/>
      <c r="G2" s="1"/>
      <c r="H2" s="1"/>
      <c r="I2" s="1"/>
      <c r="J2" s="1"/>
      <c r="K2" s="1"/>
      <c r="L2" s="1"/>
      <c r="M2" s="1"/>
    </row>
    <row r="3" ht="35.1" customHeight="1" spans="1:13">
      <c r="A3" s="155" t="s">
        <v>18</v>
      </c>
      <c r="B3" s="155" t="s">
        <v>13</v>
      </c>
      <c r="C3" s="155" t="s">
        <v>20</v>
      </c>
      <c r="D3" s="155" t="s">
        <v>51</v>
      </c>
      <c r="E3" s="10" t="s">
        <v>52</v>
      </c>
      <c r="F3" s="10" t="s">
        <v>53</v>
      </c>
      <c r="G3" s="106" t="str">
        <f>'10、智能检测'!I3</f>
        <v>全费用综合单价限价（元）</v>
      </c>
      <c r="H3" s="106" t="s">
        <v>55</v>
      </c>
      <c r="I3" s="106" t="s">
        <v>56</v>
      </c>
      <c r="J3" s="106" t="s">
        <v>57</v>
      </c>
      <c r="K3" s="106" t="s">
        <v>22</v>
      </c>
      <c r="L3" s="42" t="s">
        <v>11</v>
      </c>
      <c r="M3" s="155" t="s">
        <v>12</v>
      </c>
    </row>
    <row r="4" ht="36" customHeight="1" spans="1:13">
      <c r="A4" s="98">
        <v>1</v>
      </c>
      <c r="B4" s="98" t="s">
        <v>745</v>
      </c>
      <c r="C4" s="98" t="s">
        <v>746</v>
      </c>
      <c r="D4" s="98">
        <v>119795.55</v>
      </c>
      <c r="E4" s="98">
        <v>1.3</v>
      </c>
      <c r="F4" s="98" t="e">
        <f>E4*C4</f>
        <v>#VALUE!</v>
      </c>
      <c r="G4" s="73">
        <v>0.91</v>
      </c>
      <c r="H4" s="73"/>
      <c r="I4" s="73"/>
      <c r="J4" s="73"/>
      <c r="K4" s="73"/>
      <c r="L4" s="133"/>
      <c r="M4" s="159"/>
    </row>
    <row r="5" ht="27.95" customHeight="1" spans="1:13">
      <c r="A5" s="131" t="s">
        <v>385</v>
      </c>
      <c r="B5" s="131"/>
      <c r="C5" s="131"/>
      <c r="D5" s="131"/>
      <c r="E5" s="131"/>
      <c r="F5" s="156" t="e">
        <f>F4</f>
        <v>#VALUE!</v>
      </c>
      <c r="G5" s="157"/>
      <c r="H5" s="158"/>
      <c r="I5" s="158"/>
      <c r="J5" s="158"/>
      <c r="K5" s="158"/>
      <c r="L5" s="61"/>
      <c r="M5" s="61"/>
    </row>
  </sheetData>
  <mergeCells count="2">
    <mergeCell ref="A1:M1"/>
    <mergeCell ref="A5:E5"/>
  </mergeCells>
  <pageMargins left="0.75" right="0.75" top="1" bottom="1" header="0.5" footer="0.5"/>
  <pageSetup paperSize="9" scale="51"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O18"/>
  <sheetViews>
    <sheetView view="pageBreakPreview" zoomScaleNormal="100" workbookViewId="0">
      <selection activeCell="O4" sqref="O4"/>
    </sheetView>
  </sheetViews>
  <sheetFormatPr defaultColWidth="9" defaultRowHeight="27" customHeight="1"/>
  <cols>
    <col min="1" max="1" width="4.125" style="139" customWidth="1"/>
    <col min="2" max="2" width="14.5" style="140" customWidth="1"/>
    <col min="3" max="3" width="32.375" style="140" customWidth="1"/>
    <col min="4" max="4" width="29.125" style="140" customWidth="1"/>
    <col min="5" max="5" width="4.125" style="140" customWidth="1"/>
    <col min="6" max="6" width="10.875" style="140" customWidth="1"/>
    <col min="7" max="8" width="15.875" style="140" hidden="1" customWidth="1"/>
    <col min="9" max="13" width="15.875" style="140" customWidth="1"/>
    <col min="14" max="14" width="14.25" style="140" customWidth="1"/>
    <col min="15" max="15" width="16.625" style="140" customWidth="1"/>
    <col min="16" max="16384" width="9" style="139"/>
  </cols>
  <sheetData>
    <row r="1" customHeight="1" spans="1:15">
      <c r="A1" s="141" t="s">
        <v>747</v>
      </c>
      <c r="B1" s="141"/>
      <c r="C1" s="141"/>
      <c r="D1" s="141"/>
      <c r="E1" s="141"/>
      <c r="F1" s="141"/>
      <c r="G1" s="141"/>
      <c r="H1" s="141"/>
      <c r="I1" s="141"/>
      <c r="J1" s="141"/>
      <c r="K1" s="141"/>
      <c r="L1" s="141"/>
      <c r="M1" s="141"/>
      <c r="N1" s="141"/>
      <c r="O1" s="141"/>
    </row>
    <row r="2" customHeight="1" spans="1:15">
      <c r="A2" s="142" t="str">
        <f>'11、消防设施检测'!A2</f>
        <v>工程名称：天河区凌塘村城中村改造项目-首开区复建安置房及配套设施工程第三方检测及监测技术服务</v>
      </c>
      <c r="B2" s="142"/>
      <c r="C2" s="142"/>
      <c r="D2" s="142"/>
      <c r="E2" s="142"/>
      <c r="F2" s="142"/>
      <c r="G2" s="142"/>
      <c r="H2" s="142"/>
      <c r="I2" s="142"/>
      <c r="J2" s="142"/>
      <c r="K2" s="142"/>
      <c r="L2" s="142"/>
      <c r="M2" s="142"/>
      <c r="N2" s="142"/>
      <c r="O2" s="142"/>
    </row>
    <row r="3" customHeight="1" spans="1:15">
      <c r="A3" s="42" t="s">
        <v>18</v>
      </c>
      <c r="B3" s="42" t="s">
        <v>19</v>
      </c>
      <c r="C3" s="42" t="s">
        <v>49</v>
      </c>
      <c r="D3" s="42" t="s">
        <v>50</v>
      </c>
      <c r="E3" s="42" t="s">
        <v>20</v>
      </c>
      <c r="F3" s="42" t="s">
        <v>51</v>
      </c>
      <c r="G3" s="10" t="s">
        <v>52</v>
      </c>
      <c r="H3" s="10" t="s">
        <v>53</v>
      </c>
      <c r="I3" s="10" t="str">
        <f>'11、消防设施检测'!G3</f>
        <v>全费用综合单价限价（元）</v>
      </c>
      <c r="J3" s="10" t="s">
        <v>55</v>
      </c>
      <c r="K3" s="10" t="s">
        <v>56</v>
      </c>
      <c r="L3" s="10" t="s">
        <v>57</v>
      </c>
      <c r="M3" s="10" t="s">
        <v>476</v>
      </c>
      <c r="N3" s="42" t="s">
        <v>11</v>
      </c>
      <c r="O3" s="42" t="s">
        <v>12</v>
      </c>
    </row>
    <row r="4" customHeight="1" spans="1:15">
      <c r="A4" s="31">
        <v>1</v>
      </c>
      <c r="B4" s="31" t="s">
        <v>114</v>
      </c>
      <c r="C4" s="31" t="s">
        <v>748</v>
      </c>
      <c r="D4" s="143" t="s">
        <v>749</v>
      </c>
      <c r="E4" s="31" t="s">
        <v>62</v>
      </c>
      <c r="F4" s="144">
        <v>1</v>
      </c>
      <c r="G4" s="112">
        <v>5800</v>
      </c>
      <c r="H4" s="145">
        <f>G4*F4</f>
        <v>5800</v>
      </c>
      <c r="I4" s="145">
        <v>4060</v>
      </c>
      <c r="J4" s="145"/>
      <c r="K4" s="145"/>
      <c r="L4" s="145"/>
      <c r="M4" s="145"/>
      <c r="N4" s="133"/>
      <c r="O4" s="31"/>
    </row>
    <row r="5" customHeight="1" spans="1:15">
      <c r="A5" s="31">
        <v>2</v>
      </c>
      <c r="B5" s="31" t="s">
        <v>169</v>
      </c>
      <c r="C5" s="31" t="s">
        <v>750</v>
      </c>
      <c r="D5" s="143" t="s">
        <v>749</v>
      </c>
      <c r="E5" s="146" t="s">
        <v>62</v>
      </c>
      <c r="F5" s="144">
        <v>1</v>
      </c>
      <c r="G5" s="147">
        <f>1200+900+900</f>
        <v>3000</v>
      </c>
      <c r="H5" s="145">
        <f t="shared" ref="H5:H17" si="0">G5*F5</f>
        <v>3000</v>
      </c>
      <c r="I5" s="145">
        <v>2100</v>
      </c>
      <c r="J5" s="145"/>
      <c r="K5" s="145"/>
      <c r="L5" s="145"/>
      <c r="M5" s="145"/>
      <c r="N5" s="84"/>
      <c r="O5" s="84"/>
    </row>
    <row r="6" customHeight="1" spans="1:15">
      <c r="A6" s="31">
        <v>3</v>
      </c>
      <c r="B6" s="31" t="s">
        <v>171</v>
      </c>
      <c r="C6" s="31" t="s">
        <v>750</v>
      </c>
      <c r="D6" s="143" t="s">
        <v>749</v>
      </c>
      <c r="E6" s="84" t="s">
        <v>62</v>
      </c>
      <c r="F6" s="144">
        <v>1</v>
      </c>
      <c r="G6" s="147">
        <f>1200+900+900</f>
        <v>3000</v>
      </c>
      <c r="H6" s="145">
        <f t="shared" si="0"/>
        <v>3000</v>
      </c>
      <c r="I6" s="145">
        <v>2100</v>
      </c>
      <c r="J6" s="145"/>
      <c r="K6" s="145"/>
      <c r="L6" s="145"/>
      <c r="M6" s="145"/>
      <c r="N6" s="84"/>
      <c r="O6" s="84"/>
    </row>
    <row r="7" customHeight="1" spans="1:15">
      <c r="A7" s="31">
        <v>4</v>
      </c>
      <c r="B7" s="31" t="s">
        <v>179</v>
      </c>
      <c r="C7" s="31" t="s">
        <v>748</v>
      </c>
      <c r="D7" s="143" t="s">
        <v>749</v>
      </c>
      <c r="E7" s="146" t="s">
        <v>62</v>
      </c>
      <c r="F7" s="144">
        <v>1</v>
      </c>
      <c r="G7" s="112">
        <v>5800</v>
      </c>
      <c r="H7" s="145">
        <f t="shared" si="0"/>
        <v>5800</v>
      </c>
      <c r="I7" s="145">
        <v>4060</v>
      </c>
      <c r="J7" s="145"/>
      <c r="K7" s="145"/>
      <c r="L7" s="145"/>
      <c r="M7" s="145"/>
      <c r="N7" s="133"/>
      <c r="O7" s="31"/>
    </row>
    <row r="8" customHeight="1" spans="1:15">
      <c r="A8" s="31">
        <v>5</v>
      </c>
      <c r="B8" s="31" t="s">
        <v>342</v>
      </c>
      <c r="C8" s="31" t="s">
        <v>751</v>
      </c>
      <c r="D8" s="143" t="s">
        <v>749</v>
      </c>
      <c r="E8" s="31" t="s">
        <v>62</v>
      </c>
      <c r="F8" s="31">
        <v>1</v>
      </c>
      <c r="G8" s="147">
        <v>4900</v>
      </c>
      <c r="H8" s="145">
        <f t="shared" si="0"/>
        <v>4900</v>
      </c>
      <c r="I8" s="145">
        <v>3430</v>
      </c>
      <c r="J8" s="145"/>
      <c r="K8" s="145"/>
      <c r="L8" s="145"/>
      <c r="M8" s="145"/>
      <c r="N8" s="84"/>
      <c r="O8" s="31"/>
    </row>
    <row r="9" customHeight="1" spans="1:15">
      <c r="A9" s="31">
        <v>6</v>
      </c>
      <c r="B9" s="31" t="s">
        <v>351</v>
      </c>
      <c r="C9" s="31" t="s">
        <v>751</v>
      </c>
      <c r="D9" s="143" t="s">
        <v>749</v>
      </c>
      <c r="E9" s="31" t="s">
        <v>62</v>
      </c>
      <c r="F9" s="31">
        <v>1</v>
      </c>
      <c r="G9" s="147">
        <v>4900</v>
      </c>
      <c r="H9" s="145">
        <f t="shared" si="0"/>
        <v>4900</v>
      </c>
      <c r="I9" s="145">
        <v>3430</v>
      </c>
      <c r="J9" s="145"/>
      <c r="K9" s="145"/>
      <c r="L9" s="145"/>
      <c r="M9" s="145"/>
      <c r="N9" s="84"/>
      <c r="O9" s="31"/>
    </row>
    <row r="10" customHeight="1" spans="1:15">
      <c r="A10" s="31">
        <v>7</v>
      </c>
      <c r="B10" s="31" t="s">
        <v>354</v>
      </c>
      <c r="C10" s="31" t="s">
        <v>751</v>
      </c>
      <c r="D10" s="143" t="s">
        <v>749</v>
      </c>
      <c r="E10" s="31" t="s">
        <v>62</v>
      </c>
      <c r="F10" s="31">
        <v>1</v>
      </c>
      <c r="G10" s="147">
        <v>4900</v>
      </c>
      <c r="H10" s="145">
        <f t="shared" si="0"/>
        <v>4900</v>
      </c>
      <c r="I10" s="145">
        <v>3430</v>
      </c>
      <c r="J10" s="145"/>
      <c r="K10" s="145"/>
      <c r="L10" s="145"/>
      <c r="M10" s="145"/>
      <c r="N10" s="84"/>
      <c r="O10" s="31"/>
    </row>
    <row r="11" ht="72" spans="1:15">
      <c r="A11" s="31">
        <v>8</v>
      </c>
      <c r="B11" s="31" t="s">
        <v>752</v>
      </c>
      <c r="C11" s="31" t="s">
        <v>753</v>
      </c>
      <c r="D11" s="143" t="s">
        <v>754</v>
      </c>
      <c r="E11" s="31" t="s">
        <v>62</v>
      </c>
      <c r="F11" s="31">
        <v>1</v>
      </c>
      <c r="G11" s="147">
        <v>15000</v>
      </c>
      <c r="H11" s="145">
        <f t="shared" si="0"/>
        <v>15000</v>
      </c>
      <c r="I11" s="145">
        <v>10500</v>
      </c>
      <c r="J11" s="145"/>
      <c r="K11" s="145"/>
      <c r="L11" s="145"/>
      <c r="M11" s="145"/>
      <c r="N11" s="31"/>
      <c r="O11" s="31"/>
    </row>
    <row r="12" customHeight="1" spans="1:15">
      <c r="A12" s="31">
        <v>9</v>
      </c>
      <c r="B12" s="31" t="s">
        <v>311</v>
      </c>
      <c r="C12" s="31" t="s">
        <v>753</v>
      </c>
      <c r="D12" s="143" t="s">
        <v>755</v>
      </c>
      <c r="E12" s="31" t="s">
        <v>62</v>
      </c>
      <c r="F12" s="31">
        <v>10</v>
      </c>
      <c r="G12" s="147">
        <v>9000</v>
      </c>
      <c r="H12" s="145">
        <f t="shared" si="0"/>
        <v>90000</v>
      </c>
      <c r="I12" s="145">
        <v>6300</v>
      </c>
      <c r="J12" s="145"/>
      <c r="K12" s="145"/>
      <c r="L12" s="145"/>
      <c r="M12" s="145"/>
      <c r="N12" s="31"/>
      <c r="O12" s="31"/>
    </row>
    <row r="13" customHeight="1" spans="1:15">
      <c r="A13" s="31">
        <v>10</v>
      </c>
      <c r="B13" s="31" t="s">
        <v>756</v>
      </c>
      <c r="C13" s="31" t="s">
        <v>757</v>
      </c>
      <c r="D13" s="143" t="s">
        <v>749</v>
      </c>
      <c r="E13" s="31" t="s">
        <v>62</v>
      </c>
      <c r="F13" s="31">
        <v>1</v>
      </c>
      <c r="G13" s="147">
        <v>3000</v>
      </c>
      <c r="H13" s="145">
        <f t="shared" si="0"/>
        <v>3000</v>
      </c>
      <c r="I13" s="145">
        <v>2100</v>
      </c>
      <c r="J13" s="145"/>
      <c r="K13" s="145"/>
      <c r="L13" s="145"/>
      <c r="M13" s="145"/>
      <c r="N13" s="31"/>
      <c r="O13" s="31"/>
    </row>
    <row r="14" customHeight="1" spans="1:15">
      <c r="A14" s="31">
        <v>11</v>
      </c>
      <c r="B14" s="31" t="s">
        <v>758</v>
      </c>
      <c r="C14" s="31" t="s">
        <v>759</v>
      </c>
      <c r="D14" s="143" t="s">
        <v>749</v>
      </c>
      <c r="E14" s="31" t="s">
        <v>62</v>
      </c>
      <c r="F14" s="31">
        <v>1</v>
      </c>
      <c r="G14" s="147">
        <v>2500</v>
      </c>
      <c r="H14" s="145">
        <f t="shared" si="0"/>
        <v>2500</v>
      </c>
      <c r="I14" s="145">
        <v>1750</v>
      </c>
      <c r="J14" s="145"/>
      <c r="K14" s="145"/>
      <c r="L14" s="145"/>
      <c r="M14" s="145"/>
      <c r="N14" s="31"/>
      <c r="O14" s="31"/>
    </row>
    <row r="15" customHeight="1" spans="1:15">
      <c r="A15" s="31">
        <v>12</v>
      </c>
      <c r="B15" s="31" t="s">
        <v>760</v>
      </c>
      <c r="C15" s="31" t="s">
        <v>761</v>
      </c>
      <c r="D15" s="143" t="s">
        <v>749</v>
      </c>
      <c r="E15" s="31" t="s">
        <v>62</v>
      </c>
      <c r="F15" s="31">
        <v>1</v>
      </c>
      <c r="G15" s="147">
        <v>2500</v>
      </c>
      <c r="H15" s="145">
        <f t="shared" si="0"/>
        <v>2500</v>
      </c>
      <c r="I15" s="145">
        <v>1750</v>
      </c>
      <c r="J15" s="145"/>
      <c r="K15" s="145"/>
      <c r="L15" s="145"/>
      <c r="M15" s="145"/>
      <c r="N15" s="31"/>
      <c r="O15" s="31"/>
    </row>
    <row r="16" customHeight="1" spans="1:15">
      <c r="A16" s="31">
        <v>13</v>
      </c>
      <c r="B16" s="31" t="s">
        <v>762</v>
      </c>
      <c r="C16" s="31" t="s">
        <v>763</v>
      </c>
      <c r="D16" s="143" t="s">
        <v>749</v>
      </c>
      <c r="E16" s="31" t="s">
        <v>62</v>
      </c>
      <c r="F16" s="31">
        <v>1</v>
      </c>
      <c r="G16" s="147">
        <f>1500+2500</f>
        <v>4000</v>
      </c>
      <c r="H16" s="145">
        <f t="shared" si="0"/>
        <v>4000</v>
      </c>
      <c r="I16" s="145">
        <v>2800</v>
      </c>
      <c r="J16" s="145"/>
      <c r="K16" s="145"/>
      <c r="L16" s="145"/>
      <c r="M16" s="145"/>
      <c r="N16" s="31"/>
      <c r="O16" s="31"/>
    </row>
    <row r="17" customHeight="1" spans="1:15">
      <c r="A17" s="31">
        <v>14</v>
      </c>
      <c r="B17" s="31" t="s">
        <v>764</v>
      </c>
      <c r="C17" s="31" t="s">
        <v>765</v>
      </c>
      <c r="D17" s="143" t="s">
        <v>749</v>
      </c>
      <c r="E17" s="31" t="s">
        <v>62</v>
      </c>
      <c r="F17" s="31">
        <v>1</v>
      </c>
      <c r="G17" s="147">
        <v>4000</v>
      </c>
      <c r="H17" s="145">
        <f t="shared" si="0"/>
        <v>4000</v>
      </c>
      <c r="I17" s="145">
        <v>2800</v>
      </c>
      <c r="J17" s="145"/>
      <c r="K17" s="145"/>
      <c r="L17" s="145"/>
      <c r="M17" s="145"/>
      <c r="N17" s="31"/>
      <c r="O17" s="31"/>
    </row>
    <row r="18" customHeight="1" spans="1:15">
      <c r="A18" s="148" t="s">
        <v>385</v>
      </c>
      <c r="B18" s="149"/>
      <c r="C18" s="149"/>
      <c r="D18" s="149"/>
      <c r="E18" s="149"/>
      <c r="F18" s="149"/>
      <c r="G18" s="150"/>
      <c r="H18" s="151">
        <f>SUM(H4:H17)</f>
        <v>153300</v>
      </c>
      <c r="I18" s="42"/>
      <c r="J18" s="151">
        <f>SUM(J4:J17)</f>
        <v>0</v>
      </c>
      <c r="K18" s="151"/>
      <c r="L18" s="151"/>
      <c r="M18" s="151"/>
      <c r="N18" s="42"/>
      <c r="O18" s="42"/>
    </row>
  </sheetData>
  <mergeCells count="3">
    <mergeCell ref="A1:O1"/>
    <mergeCell ref="A2:O2"/>
    <mergeCell ref="A18:G18"/>
  </mergeCells>
  <pageMargins left="0.75" right="0.75" top="1" bottom="1" header="0.5" footer="0.5"/>
  <pageSetup paperSize="9" scale="42"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O15"/>
  <sheetViews>
    <sheetView view="pageBreakPreview" zoomScaleNormal="85" workbookViewId="0">
      <pane ySplit="3" topLeftCell="A4" activePane="bottomLeft" state="frozen"/>
      <selection/>
      <selection pane="bottomLeft" activeCell="J15" sqref="J15"/>
    </sheetView>
  </sheetViews>
  <sheetFormatPr defaultColWidth="9" defaultRowHeight="39.95" customHeight="1"/>
  <cols>
    <col min="1" max="1" width="6" customWidth="1"/>
    <col min="2" max="2" width="14.875" customWidth="1"/>
    <col min="3" max="3" width="33.125" style="102" customWidth="1"/>
    <col min="4" max="4" width="37.625" customWidth="1"/>
    <col min="5" max="5" width="6" customWidth="1"/>
    <col min="6" max="6" width="8.875" customWidth="1"/>
    <col min="7" max="7" width="8.875" hidden="1" customWidth="1"/>
    <col min="8" max="8" width="14.375" hidden="1" customWidth="1"/>
    <col min="9" max="9" width="9.875" customWidth="1"/>
    <col min="10" max="13" width="14.125" customWidth="1"/>
    <col min="14" max="14" width="14.625" customWidth="1"/>
    <col min="15" max="15" width="21.625" style="103" customWidth="1"/>
  </cols>
  <sheetData>
    <row r="1" ht="35.1" customHeight="1" spans="1:15">
      <c r="A1" s="104" t="s">
        <v>766</v>
      </c>
      <c r="B1" s="104"/>
      <c r="C1" s="104"/>
      <c r="D1" s="104"/>
      <c r="E1" s="104"/>
      <c r="F1" s="104"/>
      <c r="G1" s="104"/>
      <c r="H1" s="104"/>
      <c r="I1" s="104"/>
      <c r="J1" s="104"/>
      <c r="K1" s="104"/>
      <c r="L1" s="104"/>
      <c r="M1" s="104"/>
      <c r="N1" s="104"/>
      <c r="O1" s="132"/>
    </row>
    <row r="2" ht="24" customHeight="1" spans="1:15">
      <c r="A2" s="105" t="str">
        <f>'12、消防材料检测'!A2</f>
        <v>工程名称：天河区凌塘村城中村改造项目-首开区复建安置房及配套设施工程第三方检测及监测技术服务</v>
      </c>
      <c r="B2" s="105"/>
      <c r="C2" s="105"/>
      <c r="D2" s="105"/>
      <c r="E2" s="105"/>
      <c r="F2" s="105"/>
      <c r="G2" s="105"/>
      <c r="H2" s="105"/>
      <c r="I2" s="105"/>
      <c r="J2" s="105"/>
      <c r="K2" s="105"/>
      <c r="L2" s="105"/>
      <c r="M2" s="105"/>
      <c r="N2" s="105"/>
      <c r="O2" s="105"/>
    </row>
    <row r="3" ht="39" customHeight="1" spans="1:15">
      <c r="A3" s="106" t="s">
        <v>18</v>
      </c>
      <c r="B3" s="106" t="s">
        <v>13</v>
      </c>
      <c r="C3" s="106" t="s">
        <v>49</v>
      </c>
      <c r="D3" s="106" t="s">
        <v>50</v>
      </c>
      <c r="E3" s="107" t="s">
        <v>20</v>
      </c>
      <c r="F3" s="107" t="s">
        <v>51</v>
      </c>
      <c r="G3" s="10" t="s">
        <v>52</v>
      </c>
      <c r="H3" s="10" t="s">
        <v>53</v>
      </c>
      <c r="I3" s="10" t="str">
        <f>'12、消防材料检测'!I3</f>
        <v>全费用综合单价限价（元）</v>
      </c>
      <c r="J3" s="10" t="s">
        <v>55</v>
      </c>
      <c r="K3" s="10" t="s">
        <v>56</v>
      </c>
      <c r="L3" s="10" t="s">
        <v>57</v>
      </c>
      <c r="M3" s="10" t="s">
        <v>22</v>
      </c>
      <c r="N3" s="42" t="s">
        <v>11</v>
      </c>
      <c r="O3" s="106" t="s">
        <v>12</v>
      </c>
    </row>
    <row r="4" ht="36" spans="1:15">
      <c r="A4" s="84">
        <v>1</v>
      </c>
      <c r="B4" s="108" t="s">
        <v>767</v>
      </c>
      <c r="C4" s="109" t="s">
        <v>768</v>
      </c>
      <c r="D4" s="110" t="s">
        <v>769</v>
      </c>
      <c r="E4" s="111" t="s">
        <v>770</v>
      </c>
      <c r="F4" s="111">
        <v>1</v>
      </c>
      <c r="G4" s="112">
        <v>36200</v>
      </c>
      <c r="H4" s="113">
        <f>G4*F4</f>
        <v>36200</v>
      </c>
      <c r="I4" s="113">
        <v>25340</v>
      </c>
      <c r="J4" s="113"/>
      <c r="K4" s="113"/>
      <c r="L4" s="113"/>
      <c r="M4" s="113"/>
      <c r="N4" s="133"/>
      <c r="O4" s="134"/>
    </row>
    <row r="5" ht="48" spans="1:15">
      <c r="A5" s="84">
        <v>2</v>
      </c>
      <c r="B5" s="108" t="s">
        <v>771</v>
      </c>
      <c r="C5" s="109" t="s">
        <v>772</v>
      </c>
      <c r="D5" s="114" t="s">
        <v>773</v>
      </c>
      <c r="E5" s="111" t="s">
        <v>770</v>
      </c>
      <c r="F5" s="111">
        <v>21</v>
      </c>
      <c r="G5" s="73">
        <v>4000</v>
      </c>
      <c r="H5" s="113">
        <f t="shared" ref="H5:H14" si="0">G5*F5</f>
        <v>84000</v>
      </c>
      <c r="I5" s="113">
        <v>2800</v>
      </c>
      <c r="J5" s="113"/>
      <c r="K5" s="113"/>
      <c r="L5" s="113"/>
      <c r="M5" s="113"/>
      <c r="N5" s="98"/>
      <c r="O5" s="134"/>
    </row>
    <row r="6" ht="24" customHeight="1" spans="1:15">
      <c r="A6" s="84">
        <v>3</v>
      </c>
      <c r="B6" s="109" t="s">
        <v>774</v>
      </c>
      <c r="C6" s="109" t="s">
        <v>174</v>
      </c>
      <c r="D6" s="115" t="s">
        <v>775</v>
      </c>
      <c r="E6" s="111" t="s">
        <v>25</v>
      </c>
      <c r="F6" s="111">
        <v>1</v>
      </c>
      <c r="G6" s="73">
        <v>3000</v>
      </c>
      <c r="H6" s="113">
        <f t="shared" si="0"/>
        <v>3000</v>
      </c>
      <c r="I6" s="113">
        <v>2100</v>
      </c>
      <c r="J6" s="113"/>
      <c r="K6" s="113"/>
      <c r="L6" s="113"/>
      <c r="M6" s="113"/>
      <c r="N6" s="98"/>
      <c r="O6" s="134"/>
    </row>
    <row r="7" ht="24" customHeight="1" spans="1:15">
      <c r="A7" s="84">
        <v>4</v>
      </c>
      <c r="B7" s="109"/>
      <c r="C7" s="109" t="s">
        <v>776</v>
      </c>
      <c r="D7" s="116"/>
      <c r="E7" s="111" t="s">
        <v>25</v>
      </c>
      <c r="F7" s="111">
        <v>1</v>
      </c>
      <c r="G7" s="73">
        <v>1500</v>
      </c>
      <c r="H7" s="113">
        <f t="shared" si="0"/>
        <v>1500</v>
      </c>
      <c r="I7" s="113">
        <v>1050</v>
      </c>
      <c r="J7" s="113"/>
      <c r="K7" s="113"/>
      <c r="L7" s="113"/>
      <c r="M7" s="113"/>
      <c r="N7" s="98"/>
      <c r="O7" s="134"/>
    </row>
    <row r="8" ht="24" customHeight="1" spans="1:15">
      <c r="A8" s="84">
        <v>5</v>
      </c>
      <c r="B8" s="109"/>
      <c r="C8" s="109" t="s">
        <v>777</v>
      </c>
      <c r="D8" s="116"/>
      <c r="E8" s="111" t="s">
        <v>25</v>
      </c>
      <c r="F8" s="111">
        <v>1</v>
      </c>
      <c r="G8" s="73">
        <f>500+1000</f>
        <v>1500</v>
      </c>
      <c r="H8" s="113">
        <f t="shared" si="0"/>
        <v>1500</v>
      </c>
      <c r="I8" s="113">
        <v>1050</v>
      </c>
      <c r="J8" s="113"/>
      <c r="K8" s="113"/>
      <c r="L8" s="113"/>
      <c r="M8" s="113"/>
      <c r="N8" s="98"/>
      <c r="O8" s="134"/>
    </row>
    <row r="9" ht="24" customHeight="1" spans="1:15">
      <c r="A9" s="117">
        <v>6</v>
      </c>
      <c r="B9" s="118" t="s">
        <v>778</v>
      </c>
      <c r="C9" s="118" t="s">
        <v>776</v>
      </c>
      <c r="D9" s="119" t="s">
        <v>779</v>
      </c>
      <c r="E9" s="120" t="s">
        <v>25</v>
      </c>
      <c r="F9" s="121">
        <v>7</v>
      </c>
      <c r="G9" s="73">
        <v>1500</v>
      </c>
      <c r="H9" s="113">
        <f t="shared" si="0"/>
        <v>10500</v>
      </c>
      <c r="I9" s="113">
        <v>1050</v>
      </c>
      <c r="J9" s="113"/>
      <c r="K9" s="113"/>
      <c r="L9" s="113"/>
      <c r="M9" s="113"/>
      <c r="N9" s="98"/>
      <c r="O9" s="134"/>
    </row>
    <row r="10" ht="24" customHeight="1" spans="1:15">
      <c r="A10" s="84">
        <v>7</v>
      </c>
      <c r="B10" s="109"/>
      <c r="C10" s="109" t="s">
        <v>780</v>
      </c>
      <c r="D10" s="115"/>
      <c r="E10" s="111" t="s">
        <v>25</v>
      </c>
      <c r="F10" s="56">
        <v>7</v>
      </c>
      <c r="G10" s="73">
        <f>1500+1500+1500</f>
        <v>4500</v>
      </c>
      <c r="H10" s="113">
        <f t="shared" si="0"/>
        <v>31500</v>
      </c>
      <c r="I10" s="113">
        <v>3150</v>
      </c>
      <c r="J10" s="113"/>
      <c r="K10" s="113"/>
      <c r="L10" s="113"/>
      <c r="M10" s="113"/>
      <c r="N10" s="98"/>
      <c r="O10" s="134"/>
    </row>
    <row r="11" ht="24" customHeight="1" spans="1:15">
      <c r="A11" s="117">
        <v>8</v>
      </c>
      <c r="B11" s="122" t="s">
        <v>781</v>
      </c>
      <c r="C11" s="109" t="s">
        <v>782</v>
      </c>
      <c r="D11" s="114" t="s">
        <v>783</v>
      </c>
      <c r="E11" s="111" t="s">
        <v>25</v>
      </c>
      <c r="F11" s="123">
        <v>7</v>
      </c>
      <c r="G11" s="73">
        <v>10000</v>
      </c>
      <c r="H11" s="113">
        <f t="shared" si="0"/>
        <v>70000</v>
      </c>
      <c r="I11" s="113">
        <v>7000</v>
      </c>
      <c r="J11" s="113"/>
      <c r="K11" s="113"/>
      <c r="L11" s="113"/>
      <c r="M11" s="113"/>
      <c r="N11" s="98"/>
      <c r="O11" s="134"/>
    </row>
    <row r="12" ht="24" customHeight="1" spans="1:15">
      <c r="A12" s="84">
        <v>9</v>
      </c>
      <c r="B12" s="124"/>
      <c r="C12" s="109" t="s">
        <v>784</v>
      </c>
      <c r="D12" s="114"/>
      <c r="E12" s="111" t="s">
        <v>25</v>
      </c>
      <c r="F12" s="123">
        <v>7</v>
      </c>
      <c r="G12" s="73">
        <v>10000</v>
      </c>
      <c r="H12" s="113">
        <f t="shared" si="0"/>
        <v>70000</v>
      </c>
      <c r="I12" s="113">
        <v>7000</v>
      </c>
      <c r="J12" s="113"/>
      <c r="K12" s="113"/>
      <c r="L12" s="113"/>
      <c r="M12" s="113"/>
      <c r="N12" s="98"/>
      <c r="O12" s="134"/>
    </row>
    <row r="13" ht="24" customHeight="1" spans="1:15">
      <c r="A13" s="117">
        <v>10</v>
      </c>
      <c r="B13" s="124" t="s">
        <v>785</v>
      </c>
      <c r="C13" s="118" t="s">
        <v>786</v>
      </c>
      <c r="D13" s="125" t="s">
        <v>787</v>
      </c>
      <c r="E13" s="120" t="s">
        <v>25</v>
      </c>
      <c r="F13" s="121">
        <v>7</v>
      </c>
      <c r="G13" s="73">
        <f>(200+600+600)*3</f>
        <v>4200</v>
      </c>
      <c r="H13" s="113">
        <f t="shared" si="0"/>
        <v>29400</v>
      </c>
      <c r="I13" s="113">
        <v>2940</v>
      </c>
      <c r="J13" s="113"/>
      <c r="K13" s="113"/>
      <c r="L13" s="113"/>
      <c r="M13" s="113"/>
      <c r="N13" s="98"/>
      <c r="O13" s="134"/>
    </row>
    <row r="14" ht="24" customHeight="1" spans="1:15">
      <c r="A14" s="91">
        <v>11</v>
      </c>
      <c r="B14" s="122"/>
      <c r="C14" s="126" t="s">
        <v>788</v>
      </c>
      <c r="D14" s="125"/>
      <c r="E14" s="127" t="s">
        <v>770</v>
      </c>
      <c r="F14" s="128">
        <v>42</v>
      </c>
      <c r="G14" s="129">
        <f>200*6</f>
        <v>1200</v>
      </c>
      <c r="H14" s="130">
        <f t="shared" si="0"/>
        <v>50400</v>
      </c>
      <c r="I14" s="113">
        <v>840</v>
      </c>
      <c r="J14" s="113"/>
      <c r="K14" s="130"/>
      <c r="L14" s="130"/>
      <c r="M14" s="130"/>
      <c r="N14" s="135"/>
      <c r="O14" s="136"/>
    </row>
    <row r="15" ht="24" customHeight="1" spans="1:15">
      <c r="A15" s="131" t="s">
        <v>385</v>
      </c>
      <c r="B15" s="131"/>
      <c r="C15" s="131"/>
      <c r="D15" s="131"/>
      <c r="E15" s="131"/>
      <c r="F15" s="131"/>
      <c r="G15" s="131"/>
      <c r="H15" s="57">
        <f>SUM(H4:H14)</f>
        <v>388000</v>
      </c>
      <c r="I15" s="53"/>
      <c r="J15" s="57">
        <f>SUM(J4:J14)</f>
        <v>0</v>
      </c>
      <c r="K15" s="57"/>
      <c r="L15" s="57"/>
      <c r="M15" s="57"/>
      <c r="N15" s="137"/>
      <c r="O15" s="138"/>
    </row>
  </sheetData>
  <mergeCells count="11">
    <mergeCell ref="A1:O1"/>
    <mergeCell ref="A2:O2"/>
    <mergeCell ref="A15:G15"/>
    <mergeCell ref="B6:B8"/>
    <mergeCell ref="B9:B10"/>
    <mergeCell ref="B11:B12"/>
    <mergeCell ref="B13:B14"/>
    <mergeCell ref="D6:D8"/>
    <mergeCell ref="D9:D10"/>
    <mergeCell ref="D11:D12"/>
    <mergeCell ref="D13:D14"/>
  </mergeCells>
  <pageMargins left="0.75" right="0.75" top="1" bottom="1" header="0.5" footer="0.5"/>
  <pageSetup paperSize="9" scale="4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P36"/>
  <sheetViews>
    <sheetView view="pageBreakPreview" zoomScale="115" zoomScaleNormal="100" workbookViewId="0">
      <pane ySplit="3" topLeftCell="A27" activePane="bottomLeft" state="frozen"/>
      <selection/>
      <selection pane="bottomLeft" activeCell="K29" sqref="K29"/>
    </sheetView>
  </sheetViews>
  <sheetFormatPr defaultColWidth="9" defaultRowHeight="13.5"/>
  <cols>
    <col min="1" max="1" width="4.875" customWidth="1"/>
    <col min="2" max="3" width="9.875" customWidth="1"/>
    <col min="4" max="4" width="24" customWidth="1"/>
    <col min="5" max="5" width="20.625" customWidth="1"/>
    <col min="6" max="7" width="6.625" customWidth="1"/>
    <col min="8" max="8" width="10.625" style="63" hidden="1" customWidth="1"/>
    <col min="9" max="9" width="13.875" style="63" hidden="1" customWidth="1"/>
    <col min="10" max="10" width="12.375" style="63" customWidth="1"/>
    <col min="11" max="14" width="13.5" style="63" customWidth="1"/>
    <col min="15" max="15" width="10.375" style="63" customWidth="1"/>
    <col min="16" max="16" width="18.5" style="64" customWidth="1"/>
  </cols>
  <sheetData>
    <row r="1" ht="24" customHeight="1" spans="1:16">
      <c r="A1" s="65" t="s">
        <v>789</v>
      </c>
      <c r="B1" s="66"/>
      <c r="C1" s="66"/>
      <c r="D1" s="66"/>
      <c r="E1" s="66"/>
      <c r="F1" s="66"/>
      <c r="G1" s="66"/>
      <c r="H1" s="66"/>
      <c r="I1" s="66"/>
      <c r="J1" s="66"/>
      <c r="K1" s="66"/>
      <c r="L1" s="66"/>
      <c r="M1" s="66"/>
      <c r="N1" s="66"/>
      <c r="O1" s="66"/>
      <c r="P1" s="66"/>
    </row>
    <row r="2" ht="24" customHeight="1" spans="1:16">
      <c r="A2" s="67" t="str">
        <f>'13、幕墙门窗检测'!A2</f>
        <v>工程名称：天河区凌塘村城中村改造项目-首开区复建安置房及配套设施工程第三方检测及监测技术服务</v>
      </c>
      <c r="B2" s="68"/>
      <c r="C2" s="68"/>
      <c r="D2" s="68"/>
      <c r="E2" s="68"/>
      <c r="F2" s="68"/>
      <c r="G2" s="68"/>
      <c r="H2" s="68"/>
      <c r="I2" s="68"/>
      <c r="J2" s="68"/>
      <c r="K2" s="68"/>
      <c r="L2" s="68"/>
      <c r="M2" s="68"/>
      <c r="N2" s="68"/>
      <c r="O2" s="68"/>
      <c r="P2" s="68"/>
    </row>
    <row r="3" s="63" customFormat="1" ht="24" spans="1:16">
      <c r="A3" s="42" t="s">
        <v>18</v>
      </c>
      <c r="B3" s="42" t="s">
        <v>436</v>
      </c>
      <c r="C3" s="42" t="s">
        <v>486</v>
      </c>
      <c r="D3" s="42" t="s">
        <v>49</v>
      </c>
      <c r="E3" s="42" t="s">
        <v>50</v>
      </c>
      <c r="F3" s="42" t="s">
        <v>20</v>
      </c>
      <c r="G3" s="42" t="s">
        <v>51</v>
      </c>
      <c r="H3" s="10" t="s">
        <v>52</v>
      </c>
      <c r="I3" s="10" t="s">
        <v>53</v>
      </c>
      <c r="J3" s="10" t="str">
        <f>'3、高支模监测'!H3</f>
        <v>全费用综合单价限价（元）</v>
      </c>
      <c r="K3" s="10" t="s">
        <v>55</v>
      </c>
      <c r="L3" s="10" t="s">
        <v>56</v>
      </c>
      <c r="M3" s="10" t="s">
        <v>57</v>
      </c>
      <c r="N3" s="10" t="s">
        <v>22</v>
      </c>
      <c r="O3" s="10" t="s">
        <v>11</v>
      </c>
      <c r="P3" s="42" t="s">
        <v>12</v>
      </c>
    </row>
    <row r="4" s="63" customFormat="1" ht="24" customHeight="1" spans="1:16">
      <c r="A4" s="69">
        <v>1</v>
      </c>
      <c r="B4" s="70" t="s">
        <v>790</v>
      </c>
      <c r="C4" s="71" t="s">
        <v>791</v>
      </c>
      <c r="D4" s="72" t="s">
        <v>433</v>
      </c>
      <c r="E4" s="71" t="s">
        <v>792</v>
      </c>
      <c r="F4" s="72" t="s">
        <v>427</v>
      </c>
      <c r="G4" s="71">
        <v>72</v>
      </c>
      <c r="H4" s="73">
        <v>150</v>
      </c>
      <c r="I4" s="73">
        <f>H4*G4</f>
        <v>10800</v>
      </c>
      <c r="J4" s="73">
        <v>105</v>
      </c>
      <c r="K4" s="73"/>
      <c r="L4" s="73"/>
      <c r="M4" s="73"/>
      <c r="N4" s="73"/>
      <c r="O4" s="73"/>
      <c r="P4" s="98"/>
    </row>
    <row r="5" s="63" customFormat="1" ht="24" customHeight="1" spans="1:16">
      <c r="A5" s="69">
        <f t="shared" ref="A5:A14" si="0">A4+1</f>
        <v>2</v>
      </c>
      <c r="B5" s="74"/>
      <c r="C5" s="75" t="s">
        <v>793</v>
      </c>
      <c r="D5" s="76" t="s">
        <v>794</v>
      </c>
      <c r="E5" s="77" t="s">
        <v>795</v>
      </c>
      <c r="F5" s="78" t="s">
        <v>427</v>
      </c>
      <c r="G5" s="76">
        <v>6</v>
      </c>
      <c r="H5" s="73">
        <v>500</v>
      </c>
      <c r="I5" s="73">
        <f t="shared" ref="I5:I35" si="1">H5*G5</f>
        <v>3000</v>
      </c>
      <c r="J5" s="73">
        <v>350</v>
      </c>
      <c r="K5" s="73"/>
      <c r="L5" s="73"/>
      <c r="M5" s="73"/>
      <c r="N5" s="73"/>
      <c r="O5" s="73"/>
      <c r="P5" s="98"/>
    </row>
    <row r="6" s="63" customFormat="1" ht="24" spans="1:16">
      <c r="A6" s="69">
        <f t="shared" si="0"/>
        <v>3</v>
      </c>
      <c r="B6" s="69" t="s">
        <v>796</v>
      </c>
      <c r="C6" s="69" t="s">
        <v>793</v>
      </c>
      <c r="D6" s="71" t="s">
        <v>797</v>
      </c>
      <c r="E6" s="71" t="s">
        <v>798</v>
      </c>
      <c r="F6" s="71" t="s">
        <v>427</v>
      </c>
      <c r="G6" s="79">
        <v>4</v>
      </c>
      <c r="H6" s="73">
        <v>80</v>
      </c>
      <c r="I6" s="73">
        <f t="shared" si="1"/>
        <v>320</v>
      </c>
      <c r="J6" s="73">
        <v>56</v>
      </c>
      <c r="K6" s="73"/>
      <c r="L6" s="73"/>
      <c r="M6" s="73"/>
      <c r="N6" s="73"/>
      <c r="O6" s="73"/>
      <c r="P6" s="98"/>
    </row>
    <row r="7" s="63" customFormat="1" ht="48" spans="1:16">
      <c r="A7" s="69">
        <f t="shared" si="0"/>
        <v>4</v>
      </c>
      <c r="B7" s="69"/>
      <c r="C7" s="69" t="s">
        <v>799</v>
      </c>
      <c r="D7" s="71" t="s">
        <v>800</v>
      </c>
      <c r="E7" s="71" t="s">
        <v>801</v>
      </c>
      <c r="F7" s="71" t="s">
        <v>652</v>
      </c>
      <c r="G7" s="79">
        <v>2</v>
      </c>
      <c r="H7" s="73">
        <v>600</v>
      </c>
      <c r="I7" s="73">
        <f t="shared" si="1"/>
        <v>1200</v>
      </c>
      <c r="J7" s="73">
        <v>420</v>
      </c>
      <c r="K7" s="73"/>
      <c r="L7" s="73"/>
      <c r="M7" s="73"/>
      <c r="N7" s="73"/>
      <c r="O7" s="73"/>
      <c r="P7" s="53"/>
    </row>
    <row r="8" s="63" customFormat="1" ht="48" spans="1:16">
      <c r="A8" s="69">
        <f t="shared" si="0"/>
        <v>5</v>
      </c>
      <c r="B8" s="70" t="s">
        <v>802</v>
      </c>
      <c r="C8" s="70" t="s">
        <v>395</v>
      </c>
      <c r="D8" s="71" t="s">
        <v>803</v>
      </c>
      <c r="E8" s="71" t="s">
        <v>804</v>
      </c>
      <c r="F8" s="72" t="s">
        <v>414</v>
      </c>
      <c r="G8" s="71">
        <f>93*2.1</f>
        <v>195.3</v>
      </c>
      <c r="H8" s="73">
        <v>200</v>
      </c>
      <c r="I8" s="73">
        <f t="shared" si="1"/>
        <v>39060</v>
      </c>
      <c r="J8" s="73">
        <v>140</v>
      </c>
      <c r="K8" s="73"/>
      <c r="L8" s="73"/>
      <c r="M8" s="73"/>
      <c r="N8" s="73"/>
      <c r="O8" s="73"/>
      <c r="P8" s="98"/>
    </row>
    <row r="9" s="63" customFormat="1" ht="24" customHeight="1" spans="1:16">
      <c r="A9" s="69">
        <f t="shared" si="0"/>
        <v>6</v>
      </c>
      <c r="B9" s="80"/>
      <c r="C9" s="72" t="s">
        <v>433</v>
      </c>
      <c r="D9" s="72" t="s">
        <v>433</v>
      </c>
      <c r="E9" s="71" t="s">
        <v>805</v>
      </c>
      <c r="F9" s="72" t="s">
        <v>427</v>
      </c>
      <c r="G9" s="71">
        <v>261</v>
      </c>
      <c r="H9" s="73">
        <v>150</v>
      </c>
      <c r="I9" s="73">
        <f t="shared" si="1"/>
        <v>39150</v>
      </c>
      <c r="J9" s="73">
        <v>105</v>
      </c>
      <c r="K9" s="73"/>
      <c r="L9" s="73"/>
      <c r="M9" s="73"/>
      <c r="N9" s="73"/>
      <c r="O9" s="73"/>
      <c r="P9" s="98"/>
    </row>
    <row r="10" s="63" customFormat="1" ht="24" customHeight="1" spans="1:16">
      <c r="A10" s="69">
        <f t="shared" si="0"/>
        <v>7</v>
      </c>
      <c r="B10" s="80"/>
      <c r="C10" s="72" t="s">
        <v>806</v>
      </c>
      <c r="D10" s="72" t="s">
        <v>806</v>
      </c>
      <c r="E10" s="71" t="s">
        <v>807</v>
      </c>
      <c r="F10" s="72" t="s">
        <v>414</v>
      </c>
      <c r="G10" s="71">
        <f>886+615</f>
        <v>1501</v>
      </c>
      <c r="H10" s="73">
        <v>68</v>
      </c>
      <c r="I10" s="73">
        <f t="shared" si="1"/>
        <v>102068</v>
      </c>
      <c r="J10" s="73">
        <v>47.6</v>
      </c>
      <c r="K10" s="73"/>
      <c r="L10" s="73"/>
      <c r="M10" s="73"/>
      <c r="N10" s="73"/>
      <c r="O10" s="73"/>
      <c r="P10" s="98"/>
    </row>
    <row r="11" s="63" customFormat="1" ht="24" customHeight="1" spans="1:16">
      <c r="A11" s="69">
        <f t="shared" si="0"/>
        <v>8</v>
      </c>
      <c r="B11" s="80"/>
      <c r="C11" s="72" t="s">
        <v>808</v>
      </c>
      <c r="D11" s="72" t="s">
        <v>808</v>
      </c>
      <c r="E11" s="71" t="s">
        <v>809</v>
      </c>
      <c r="F11" s="72" t="s">
        <v>414</v>
      </c>
      <c r="G11" s="71">
        <f>886+615</f>
        <v>1501</v>
      </c>
      <c r="H11" s="73">
        <v>15</v>
      </c>
      <c r="I11" s="73">
        <f t="shared" si="1"/>
        <v>22515</v>
      </c>
      <c r="J11" s="73">
        <v>10.5</v>
      </c>
      <c r="K11" s="73"/>
      <c r="L11" s="73"/>
      <c r="M11" s="73"/>
      <c r="N11" s="73"/>
      <c r="O11" s="73"/>
      <c r="P11" s="98"/>
    </row>
    <row r="12" s="63" customFormat="1" ht="24" customHeight="1" spans="1:16">
      <c r="A12" s="69">
        <f t="shared" si="0"/>
        <v>9</v>
      </c>
      <c r="B12" s="80"/>
      <c r="C12" s="72" t="s">
        <v>810</v>
      </c>
      <c r="D12" s="72" t="s">
        <v>810</v>
      </c>
      <c r="E12" s="71" t="s">
        <v>605</v>
      </c>
      <c r="F12" s="72" t="s">
        <v>414</v>
      </c>
      <c r="G12" s="71">
        <v>340</v>
      </c>
      <c r="H12" s="73">
        <v>25</v>
      </c>
      <c r="I12" s="73">
        <f t="shared" si="1"/>
        <v>8500</v>
      </c>
      <c r="J12" s="73">
        <v>17.5</v>
      </c>
      <c r="K12" s="73"/>
      <c r="L12" s="73"/>
      <c r="M12" s="73"/>
      <c r="N12" s="73"/>
      <c r="O12" s="73"/>
      <c r="P12" s="98"/>
    </row>
    <row r="13" s="63" customFormat="1" ht="24" customHeight="1" spans="1:16">
      <c r="A13" s="69">
        <f t="shared" si="0"/>
        <v>10</v>
      </c>
      <c r="B13" s="80"/>
      <c r="C13" s="81" t="s">
        <v>811</v>
      </c>
      <c r="D13" s="77" t="s">
        <v>812</v>
      </c>
      <c r="E13" s="77" t="s">
        <v>813</v>
      </c>
      <c r="F13" s="77" t="s">
        <v>451</v>
      </c>
      <c r="G13" s="79">
        <v>10</v>
      </c>
      <c r="H13" s="73">
        <f>60*10</f>
        <v>600</v>
      </c>
      <c r="I13" s="73">
        <f t="shared" si="1"/>
        <v>6000</v>
      </c>
      <c r="J13" s="73">
        <v>420</v>
      </c>
      <c r="K13" s="73"/>
      <c r="L13" s="73"/>
      <c r="M13" s="73"/>
      <c r="N13" s="73"/>
      <c r="O13" s="73"/>
      <c r="P13" s="98"/>
    </row>
    <row r="14" s="63" customFormat="1" ht="24" customHeight="1" spans="1:16">
      <c r="A14" s="69">
        <f t="shared" si="0"/>
        <v>11</v>
      </c>
      <c r="B14" s="74"/>
      <c r="C14" s="81"/>
      <c r="D14" s="77" t="s">
        <v>814</v>
      </c>
      <c r="E14" s="77" t="s">
        <v>815</v>
      </c>
      <c r="F14" s="77" t="s">
        <v>451</v>
      </c>
      <c r="G14" s="79">
        <v>5</v>
      </c>
      <c r="H14" s="73">
        <v>500</v>
      </c>
      <c r="I14" s="73">
        <f t="shared" si="1"/>
        <v>2500</v>
      </c>
      <c r="J14" s="73">
        <v>350</v>
      </c>
      <c r="K14" s="73"/>
      <c r="L14" s="73"/>
      <c r="M14" s="73"/>
      <c r="N14" s="73"/>
      <c r="O14" s="73"/>
      <c r="P14" s="98"/>
    </row>
    <row r="15" s="63" customFormat="1" ht="24" customHeight="1" spans="1:16">
      <c r="A15" s="82">
        <v>13</v>
      </c>
      <c r="B15" s="43" t="s">
        <v>816</v>
      </c>
      <c r="C15" s="83" t="s">
        <v>817</v>
      </c>
      <c r="D15" s="31" t="s">
        <v>818</v>
      </c>
      <c r="E15" s="84" t="s">
        <v>819</v>
      </c>
      <c r="F15" s="84" t="s">
        <v>62</v>
      </c>
      <c r="G15" s="84">
        <v>2</v>
      </c>
      <c r="H15" s="73">
        <v>18000</v>
      </c>
      <c r="I15" s="73">
        <f t="shared" si="1"/>
        <v>36000</v>
      </c>
      <c r="J15" s="73">
        <v>12600</v>
      </c>
      <c r="K15" s="73"/>
      <c r="L15" s="73"/>
      <c r="M15" s="73"/>
      <c r="N15" s="73"/>
      <c r="O15" s="73"/>
      <c r="P15" s="53"/>
    </row>
    <row r="16" s="63" customFormat="1" ht="24" customHeight="1" spans="1:16">
      <c r="A16" s="82">
        <v>14</v>
      </c>
      <c r="B16" s="43"/>
      <c r="C16" s="83" t="s">
        <v>820</v>
      </c>
      <c r="D16" s="31" t="s">
        <v>821</v>
      </c>
      <c r="E16" s="84" t="s">
        <v>822</v>
      </c>
      <c r="F16" s="84" t="s">
        <v>62</v>
      </c>
      <c r="G16" s="84">
        <v>1</v>
      </c>
      <c r="H16" s="73">
        <f t="shared" ref="H16:H18" si="2">300+200+200+1500</f>
        <v>2200</v>
      </c>
      <c r="I16" s="73">
        <f t="shared" si="1"/>
        <v>2200</v>
      </c>
      <c r="J16" s="73">
        <v>1540</v>
      </c>
      <c r="K16" s="73"/>
      <c r="L16" s="73"/>
      <c r="M16" s="73"/>
      <c r="N16" s="73"/>
      <c r="O16" s="73"/>
      <c r="P16" s="53"/>
    </row>
    <row r="17" s="63" customFormat="1" ht="24" customHeight="1" spans="1:16">
      <c r="A17" s="82">
        <v>15</v>
      </c>
      <c r="B17" s="43"/>
      <c r="C17" s="83" t="s">
        <v>823</v>
      </c>
      <c r="D17" s="31" t="s">
        <v>821</v>
      </c>
      <c r="E17" s="84" t="s">
        <v>822</v>
      </c>
      <c r="F17" s="84" t="s">
        <v>62</v>
      </c>
      <c r="G17" s="84">
        <v>1</v>
      </c>
      <c r="H17" s="73">
        <f t="shared" si="2"/>
        <v>2200</v>
      </c>
      <c r="I17" s="73">
        <f t="shared" si="1"/>
        <v>2200</v>
      </c>
      <c r="J17" s="73">
        <v>1540</v>
      </c>
      <c r="K17" s="73"/>
      <c r="L17" s="73"/>
      <c r="M17" s="73"/>
      <c r="N17" s="73"/>
      <c r="O17" s="73"/>
      <c r="P17" s="53"/>
    </row>
    <row r="18" s="63" customFormat="1" ht="24" customHeight="1" spans="1:16">
      <c r="A18" s="82">
        <v>16</v>
      </c>
      <c r="B18" s="43"/>
      <c r="C18" s="83" t="s">
        <v>824</v>
      </c>
      <c r="D18" s="31" t="s">
        <v>821</v>
      </c>
      <c r="E18" s="84" t="s">
        <v>822</v>
      </c>
      <c r="F18" s="84" t="s">
        <v>62</v>
      </c>
      <c r="G18" s="84">
        <v>1</v>
      </c>
      <c r="H18" s="73">
        <f t="shared" si="2"/>
        <v>2200</v>
      </c>
      <c r="I18" s="73">
        <f t="shared" si="1"/>
        <v>2200</v>
      </c>
      <c r="J18" s="73">
        <v>1540</v>
      </c>
      <c r="K18" s="73"/>
      <c r="L18" s="73"/>
      <c r="M18" s="73"/>
      <c r="N18" s="73"/>
      <c r="O18" s="73"/>
      <c r="P18" s="53"/>
    </row>
    <row r="19" s="63" customFormat="1" ht="24" customHeight="1" spans="1:16">
      <c r="A19" s="82">
        <v>17</v>
      </c>
      <c r="B19" s="43"/>
      <c r="C19" s="83" t="s">
        <v>825</v>
      </c>
      <c r="D19" s="31" t="s">
        <v>826</v>
      </c>
      <c r="E19" s="84" t="s">
        <v>827</v>
      </c>
      <c r="F19" s="84" t="s">
        <v>62</v>
      </c>
      <c r="G19" s="84">
        <v>1</v>
      </c>
      <c r="H19" s="73">
        <f>1780+500+800+6000</f>
        <v>9080</v>
      </c>
      <c r="I19" s="73">
        <f t="shared" si="1"/>
        <v>9080</v>
      </c>
      <c r="J19" s="73">
        <v>6356</v>
      </c>
      <c r="K19" s="73"/>
      <c r="L19" s="73"/>
      <c r="M19" s="73"/>
      <c r="N19" s="73"/>
      <c r="O19" s="73"/>
      <c r="P19" s="53"/>
    </row>
    <row r="20" s="63" customFormat="1" ht="24" customHeight="1" spans="1:16">
      <c r="A20" s="82">
        <v>18</v>
      </c>
      <c r="B20" s="43"/>
      <c r="C20" s="83" t="s">
        <v>828</v>
      </c>
      <c r="D20" s="31" t="s">
        <v>829</v>
      </c>
      <c r="E20" s="84" t="s">
        <v>827</v>
      </c>
      <c r="F20" s="84" t="s">
        <v>62</v>
      </c>
      <c r="G20" s="84">
        <v>1</v>
      </c>
      <c r="H20" s="73">
        <f>1780+500+800</f>
        <v>3080</v>
      </c>
      <c r="I20" s="73">
        <f t="shared" si="1"/>
        <v>3080</v>
      </c>
      <c r="J20" s="73">
        <v>2156</v>
      </c>
      <c r="K20" s="73"/>
      <c r="L20" s="73"/>
      <c r="M20" s="73"/>
      <c r="N20" s="73"/>
      <c r="O20" s="73"/>
      <c r="P20" s="53"/>
    </row>
    <row r="21" s="63" customFormat="1" ht="24" customHeight="1" spans="1:16">
      <c r="A21" s="85">
        <v>19</v>
      </c>
      <c r="B21" s="43"/>
      <c r="C21" s="86" t="s">
        <v>830</v>
      </c>
      <c r="D21" s="84" t="s">
        <v>433</v>
      </c>
      <c r="E21" s="31" t="s">
        <v>831</v>
      </c>
      <c r="F21" s="84" t="s">
        <v>427</v>
      </c>
      <c r="G21" s="87">
        <v>3</v>
      </c>
      <c r="H21" s="73">
        <v>150</v>
      </c>
      <c r="I21" s="73">
        <f t="shared" si="1"/>
        <v>450</v>
      </c>
      <c r="J21" s="73">
        <v>105</v>
      </c>
      <c r="K21" s="73"/>
      <c r="L21" s="73"/>
      <c r="M21" s="73"/>
      <c r="N21" s="73"/>
      <c r="O21" s="73"/>
      <c r="P21" s="98"/>
    </row>
    <row r="22" s="63" customFormat="1" ht="24" customHeight="1" spans="1:16">
      <c r="A22" s="85">
        <v>20</v>
      </c>
      <c r="B22" s="43"/>
      <c r="C22" s="86"/>
      <c r="D22" s="84" t="s">
        <v>832</v>
      </c>
      <c r="E22" s="31" t="s">
        <v>833</v>
      </c>
      <c r="F22" s="84" t="s">
        <v>427</v>
      </c>
      <c r="G22" s="87">
        <v>18</v>
      </c>
      <c r="H22" s="73">
        <v>56</v>
      </c>
      <c r="I22" s="73">
        <f t="shared" si="1"/>
        <v>1008</v>
      </c>
      <c r="J22" s="73">
        <v>39.2</v>
      </c>
      <c r="K22" s="73"/>
      <c r="L22" s="73"/>
      <c r="M22" s="73"/>
      <c r="N22" s="73"/>
      <c r="O22" s="73"/>
      <c r="P22" s="98"/>
    </row>
    <row r="23" s="63" customFormat="1" ht="24" customHeight="1" spans="1:16">
      <c r="A23" s="85">
        <v>21</v>
      </c>
      <c r="B23" s="43"/>
      <c r="C23" s="88"/>
      <c r="D23" s="31" t="s">
        <v>834</v>
      </c>
      <c r="E23" s="31" t="s">
        <v>835</v>
      </c>
      <c r="F23" s="31" t="s">
        <v>62</v>
      </c>
      <c r="G23" s="87">
        <v>1</v>
      </c>
      <c r="H23" s="73">
        <v>500</v>
      </c>
      <c r="I23" s="73">
        <f t="shared" si="1"/>
        <v>500</v>
      </c>
      <c r="J23" s="73">
        <v>350</v>
      </c>
      <c r="K23" s="73"/>
      <c r="L23" s="73"/>
      <c r="M23" s="73"/>
      <c r="N23" s="73"/>
      <c r="O23" s="73"/>
      <c r="P23" s="53"/>
    </row>
    <row r="24" s="63" customFormat="1" ht="24" customHeight="1" spans="1:16">
      <c r="A24" s="85">
        <v>22</v>
      </c>
      <c r="B24" s="43"/>
      <c r="C24" s="86" t="s">
        <v>836</v>
      </c>
      <c r="D24" s="84" t="s">
        <v>794</v>
      </c>
      <c r="E24" s="31" t="s">
        <v>831</v>
      </c>
      <c r="F24" s="84" t="s">
        <v>427</v>
      </c>
      <c r="G24" s="87">
        <v>3</v>
      </c>
      <c r="H24" s="73">
        <v>500</v>
      </c>
      <c r="I24" s="73">
        <f t="shared" si="1"/>
        <v>1500</v>
      </c>
      <c r="J24" s="73">
        <v>350</v>
      </c>
      <c r="K24" s="73"/>
      <c r="L24" s="73"/>
      <c r="M24" s="73"/>
      <c r="N24" s="73"/>
      <c r="O24" s="73"/>
      <c r="P24" s="98"/>
    </row>
    <row r="25" s="63" customFormat="1" ht="24" customHeight="1" spans="1:16">
      <c r="A25" s="85">
        <v>23</v>
      </c>
      <c r="B25" s="43"/>
      <c r="C25" s="86"/>
      <c r="D25" s="89" t="s">
        <v>433</v>
      </c>
      <c r="E25" s="31" t="s">
        <v>831</v>
      </c>
      <c r="F25" s="84" t="s">
        <v>427</v>
      </c>
      <c r="G25" s="87">
        <v>3</v>
      </c>
      <c r="H25" s="73">
        <v>150</v>
      </c>
      <c r="I25" s="73">
        <f t="shared" si="1"/>
        <v>450</v>
      </c>
      <c r="J25" s="73">
        <v>105</v>
      </c>
      <c r="K25" s="73"/>
      <c r="L25" s="73"/>
      <c r="M25" s="73"/>
      <c r="N25" s="73"/>
      <c r="O25" s="73"/>
      <c r="P25" s="98"/>
    </row>
    <row r="26" s="63" customFormat="1" ht="24" customHeight="1" spans="1:16">
      <c r="A26" s="85">
        <v>24</v>
      </c>
      <c r="B26" s="43"/>
      <c r="C26" s="86"/>
      <c r="D26" s="89" t="s">
        <v>832</v>
      </c>
      <c r="E26" s="31" t="s">
        <v>833</v>
      </c>
      <c r="F26" s="84" t="s">
        <v>427</v>
      </c>
      <c r="G26" s="87">
        <v>18</v>
      </c>
      <c r="H26" s="73">
        <v>56</v>
      </c>
      <c r="I26" s="73">
        <f t="shared" si="1"/>
        <v>1008</v>
      </c>
      <c r="J26" s="73">
        <v>39.2</v>
      </c>
      <c r="K26" s="73"/>
      <c r="L26" s="73"/>
      <c r="M26" s="73"/>
      <c r="N26" s="73"/>
      <c r="O26" s="73"/>
      <c r="P26" s="98"/>
    </row>
    <row r="27" s="63" customFormat="1" ht="24" customHeight="1" spans="1:16">
      <c r="A27" s="85">
        <v>25</v>
      </c>
      <c r="B27" s="43"/>
      <c r="C27" s="86"/>
      <c r="D27" s="31" t="s">
        <v>837</v>
      </c>
      <c r="E27" s="31" t="s">
        <v>838</v>
      </c>
      <c r="F27" s="31" t="s">
        <v>652</v>
      </c>
      <c r="G27" s="87">
        <v>12</v>
      </c>
      <c r="H27" s="73">
        <v>30</v>
      </c>
      <c r="I27" s="73">
        <f t="shared" si="1"/>
        <v>360</v>
      </c>
      <c r="J27" s="73">
        <v>21</v>
      </c>
      <c r="K27" s="73"/>
      <c r="L27" s="73"/>
      <c r="M27" s="73"/>
      <c r="N27" s="73"/>
      <c r="O27" s="73"/>
      <c r="P27" s="53"/>
    </row>
    <row r="28" s="63" customFormat="1" ht="24" customHeight="1" spans="1:16">
      <c r="A28" s="85">
        <v>26</v>
      </c>
      <c r="B28" s="43"/>
      <c r="C28" s="86"/>
      <c r="D28" s="31" t="s">
        <v>839</v>
      </c>
      <c r="E28" s="31" t="s">
        <v>840</v>
      </c>
      <c r="F28" s="31" t="s">
        <v>427</v>
      </c>
      <c r="G28" s="87">
        <v>3</v>
      </c>
      <c r="H28" s="73">
        <v>150</v>
      </c>
      <c r="I28" s="73">
        <f t="shared" si="1"/>
        <v>450</v>
      </c>
      <c r="J28" s="73">
        <v>105</v>
      </c>
      <c r="K28" s="73"/>
      <c r="L28" s="73"/>
      <c r="M28" s="73"/>
      <c r="N28" s="73"/>
      <c r="O28" s="73"/>
      <c r="P28" s="53"/>
    </row>
    <row r="29" s="63" customFormat="1" ht="24" customHeight="1" spans="1:16">
      <c r="A29" s="85">
        <v>27</v>
      </c>
      <c r="B29" s="43"/>
      <c r="C29" s="86"/>
      <c r="D29" s="31" t="s">
        <v>841</v>
      </c>
      <c r="E29" s="31" t="s">
        <v>842</v>
      </c>
      <c r="F29" s="31" t="s">
        <v>427</v>
      </c>
      <c r="G29" s="87">
        <v>5</v>
      </c>
      <c r="H29" s="73">
        <v>500</v>
      </c>
      <c r="I29" s="73">
        <f t="shared" si="1"/>
        <v>2500</v>
      </c>
      <c r="J29" s="73">
        <v>350</v>
      </c>
      <c r="K29" s="73"/>
      <c r="L29" s="73"/>
      <c r="M29" s="73"/>
      <c r="N29" s="73"/>
      <c r="O29" s="73"/>
      <c r="P29" s="53"/>
    </row>
    <row r="30" s="63" customFormat="1" ht="24" customHeight="1" spans="1:16">
      <c r="A30" s="85">
        <v>28</v>
      </c>
      <c r="B30" s="43"/>
      <c r="C30" s="86"/>
      <c r="D30" s="31" t="s">
        <v>843</v>
      </c>
      <c r="E30" s="31" t="s">
        <v>844</v>
      </c>
      <c r="F30" s="31" t="s">
        <v>427</v>
      </c>
      <c r="G30" s="87">
        <v>24</v>
      </c>
      <c r="H30" s="73">
        <v>2000</v>
      </c>
      <c r="I30" s="73">
        <f t="shared" si="1"/>
        <v>48000</v>
      </c>
      <c r="J30" s="73">
        <v>1400</v>
      </c>
      <c r="K30" s="73"/>
      <c r="L30" s="73"/>
      <c r="M30" s="73"/>
      <c r="N30" s="73"/>
      <c r="O30" s="73"/>
      <c r="P30" s="53"/>
    </row>
    <row r="31" s="63" customFormat="1" ht="24" customHeight="1" spans="1:16">
      <c r="A31" s="85">
        <v>29</v>
      </c>
      <c r="B31" s="43"/>
      <c r="C31" s="86"/>
      <c r="D31" s="31" t="s">
        <v>845</v>
      </c>
      <c r="E31" s="31" t="s">
        <v>846</v>
      </c>
      <c r="F31" s="31" t="s">
        <v>427</v>
      </c>
      <c r="G31" s="87">
        <v>3</v>
      </c>
      <c r="H31" s="73">
        <v>500</v>
      </c>
      <c r="I31" s="73">
        <f t="shared" si="1"/>
        <v>1500</v>
      </c>
      <c r="J31" s="73">
        <v>350</v>
      </c>
      <c r="K31" s="73"/>
      <c r="L31" s="73"/>
      <c r="M31" s="73"/>
      <c r="N31" s="73"/>
      <c r="O31" s="73"/>
      <c r="P31" s="53"/>
    </row>
    <row r="32" s="63" customFormat="1" ht="24" customHeight="1" spans="1:16">
      <c r="A32" s="85">
        <v>30</v>
      </c>
      <c r="B32" s="43"/>
      <c r="C32" s="86"/>
      <c r="D32" s="90" t="s">
        <v>847</v>
      </c>
      <c r="E32" s="90" t="s">
        <v>848</v>
      </c>
      <c r="F32" s="90" t="s">
        <v>427</v>
      </c>
      <c r="G32" s="87">
        <v>3</v>
      </c>
      <c r="H32" s="73">
        <v>50</v>
      </c>
      <c r="I32" s="73">
        <f t="shared" si="1"/>
        <v>150</v>
      </c>
      <c r="J32" s="73">
        <v>35</v>
      </c>
      <c r="K32" s="73"/>
      <c r="L32" s="73"/>
      <c r="M32" s="73"/>
      <c r="N32" s="73"/>
      <c r="O32" s="73"/>
      <c r="P32" s="53"/>
    </row>
    <row r="33" s="63" customFormat="1" ht="24" customHeight="1" spans="1:16">
      <c r="A33" s="85">
        <v>31</v>
      </c>
      <c r="B33" s="43"/>
      <c r="C33" s="86"/>
      <c r="D33" s="31" t="s">
        <v>849</v>
      </c>
      <c r="E33" s="31" t="s">
        <v>798</v>
      </c>
      <c r="F33" s="31" t="s">
        <v>427</v>
      </c>
      <c r="G33" s="87">
        <v>3</v>
      </c>
      <c r="H33" s="73">
        <v>120</v>
      </c>
      <c r="I33" s="73">
        <f t="shared" si="1"/>
        <v>360</v>
      </c>
      <c r="J33" s="73">
        <v>84</v>
      </c>
      <c r="K33" s="73"/>
      <c r="L33" s="73"/>
      <c r="M33" s="73"/>
      <c r="N33" s="73"/>
      <c r="O33" s="73"/>
      <c r="P33" s="53"/>
    </row>
    <row r="34" s="63" customFormat="1" ht="24" customHeight="1" spans="1:16">
      <c r="A34" s="84">
        <v>32</v>
      </c>
      <c r="B34" s="91" t="s">
        <v>850</v>
      </c>
      <c r="C34" s="91" t="s">
        <v>851</v>
      </c>
      <c r="D34" s="92" t="s">
        <v>852</v>
      </c>
      <c r="E34" s="93" t="s">
        <v>853</v>
      </c>
      <c r="F34" s="31" t="s">
        <v>652</v>
      </c>
      <c r="G34" s="84">
        <v>10</v>
      </c>
      <c r="H34" s="73">
        <v>20</v>
      </c>
      <c r="I34" s="73">
        <f t="shared" si="1"/>
        <v>200</v>
      </c>
      <c r="J34" s="73">
        <v>14</v>
      </c>
      <c r="K34" s="73"/>
      <c r="L34" s="73"/>
      <c r="M34" s="73"/>
      <c r="N34" s="73"/>
      <c r="O34" s="73"/>
      <c r="P34" s="98"/>
    </row>
    <row r="35" s="63" customFormat="1" ht="24" customHeight="1" spans="1:16">
      <c r="A35" s="84">
        <v>33</v>
      </c>
      <c r="B35" s="94"/>
      <c r="C35" s="94"/>
      <c r="D35" s="92" t="s">
        <v>854</v>
      </c>
      <c r="E35" s="93"/>
      <c r="F35" s="31" t="s">
        <v>652</v>
      </c>
      <c r="G35" s="84">
        <v>10</v>
      </c>
      <c r="H35" s="73">
        <v>200</v>
      </c>
      <c r="I35" s="73">
        <f t="shared" si="1"/>
        <v>2000</v>
      </c>
      <c r="J35" s="73">
        <v>140</v>
      </c>
      <c r="K35" s="73"/>
      <c r="L35" s="73"/>
      <c r="M35" s="73"/>
      <c r="N35" s="73"/>
      <c r="O35" s="73"/>
      <c r="P35" s="98"/>
    </row>
    <row r="36" s="63" customFormat="1" ht="18" customHeight="1" spans="1:16">
      <c r="A36" s="95" t="s">
        <v>385</v>
      </c>
      <c r="B36" s="96"/>
      <c r="C36" s="96"/>
      <c r="D36" s="96"/>
      <c r="E36" s="96"/>
      <c r="F36" s="96"/>
      <c r="G36" s="96"/>
      <c r="H36" s="97"/>
      <c r="I36" s="99">
        <f>SUM(I4:I35)</f>
        <v>350309</v>
      </c>
      <c r="J36" s="100"/>
      <c r="K36" s="99">
        <f>SUM(K4:K35)</f>
        <v>0</v>
      </c>
      <c r="L36" s="99"/>
      <c r="M36" s="99"/>
      <c r="N36" s="99"/>
      <c r="O36" s="99"/>
      <c r="P36" s="101"/>
    </row>
  </sheetData>
  <autoFilter xmlns:etc="http://www.wps.cn/officeDocument/2017/etCustomData" ref="A3:P36" etc:filterBottomFollowUsedRange="0">
    <extLst/>
  </autoFilter>
  <mergeCells count="13">
    <mergeCell ref="A1:P1"/>
    <mergeCell ref="A2:P2"/>
    <mergeCell ref="A36:H36"/>
    <mergeCell ref="B4:B5"/>
    <mergeCell ref="B6:B7"/>
    <mergeCell ref="B8:B14"/>
    <mergeCell ref="B15:B33"/>
    <mergeCell ref="B34:B35"/>
    <mergeCell ref="C13:C14"/>
    <mergeCell ref="C21:C23"/>
    <mergeCell ref="C24:C33"/>
    <mergeCell ref="C34:C35"/>
    <mergeCell ref="E34:E35"/>
  </mergeCells>
  <pageMargins left="0.75" right="0.75" top="1" bottom="1" header="0.5" footer="0.5"/>
  <pageSetup paperSize="9" scale="48" orientation="portrait"/>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O27"/>
  <sheetViews>
    <sheetView view="pageBreakPreview" zoomScaleNormal="80" workbookViewId="0">
      <pane ySplit="3" topLeftCell="A4" activePane="bottomLeft" state="frozen"/>
      <selection/>
      <selection pane="bottomLeft" activeCell="O14" sqref="O14"/>
    </sheetView>
  </sheetViews>
  <sheetFormatPr defaultColWidth="8.625" defaultRowHeight="14.25"/>
  <cols>
    <col min="1" max="1" width="6.5" style="3" customWidth="1"/>
    <col min="2" max="5" width="8.625" style="3"/>
    <col min="6" max="6" width="10.125" style="4" customWidth="1"/>
    <col min="7" max="7" width="10.125" style="3" hidden="1" customWidth="1"/>
    <col min="8" max="8" width="14.75" style="3" hidden="1" customWidth="1"/>
    <col min="9" max="9" width="12.5" style="3" customWidth="1"/>
    <col min="10" max="13" width="14.625" style="3" customWidth="1"/>
    <col min="14" max="14" width="15.875" style="3" customWidth="1"/>
    <col min="15" max="15" width="18.625" style="3" customWidth="1"/>
    <col min="16" max="16384" width="8.625" style="3"/>
  </cols>
  <sheetData>
    <row r="1" ht="42" customHeight="1" spans="1:15">
      <c r="A1" s="48" t="s">
        <v>855</v>
      </c>
      <c r="B1" s="48"/>
      <c r="C1" s="48"/>
      <c r="D1" s="48"/>
      <c r="E1" s="48"/>
      <c r="F1" s="49"/>
      <c r="G1" s="48"/>
      <c r="H1" s="48"/>
      <c r="I1" s="48"/>
      <c r="J1" s="48"/>
      <c r="K1" s="48"/>
      <c r="L1" s="48"/>
      <c r="M1" s="48"/>
      <c r="N1" s="48"/>
      <c r="O1" s="48"/>
    </row>
    <row r="2" customFormat="1" ht="30" customHeight="1" spans="1:15">
      <c r="A2" s="50" t="str">
        <f>'14、市政实体检测'!A2</f>
        <v>工程名称：天河区凌塘村城中村改造项目-首开区复建安置房及配套设施工程第三方检测及监测技术服务</v>
      </c>
      <c r="B2" s="50"/>
      <c r="C2" s="50"/>
      <c r="D2" s="50"/>
      <c r="E2" s="50"/>
      <c r="F2" s="51"/>
      <c r="G2" s="50"/>
      <c r="H2" s="50"/>
      <c r="I2" s="50"/>
      <c r="J2" s="50"/>
      <c r="K2" s="50"/>
      <c r="L2" s="50"/>
      <c r="M2" s="50"/>
      <c r="N2" s="50"/>
      <c r="O2" s="50"/>
    </row>
    <row r="3" s="2" customFormat="1" ht="33.95" customHeight="1" spans="1:15">
      <c r="A3" s="52" t="s">
        <v>18</v>
      </c>
      <c r="B3" s="52" t="s">
        <v>856</v>
      </c>
      <c r="C3" s="52"/>
      <c r="D3" s="52"/>
      <c r="E3" s="10" t="s">
        <v>20</v>
      </c>
      <c r="F3" s="11" t="s">
        <v>51</v>
      </c>
      <c r="G3" s="10" t="s">
        <v>52</v>
      </c>
      <c r="H3" s="10" t="s">
        <v>53</v>
      </c>
      <c r="I3" s="10" t="str">
        <f>'13、幕墙门窗检测'!I3</f>
        <v>全费用综合单价限价（元）</v>
      </c>
      <c r="J3" s="10" t="s">
        <v>55</v>
      </c>
      <c r="K3" s="10" t="s">
        <v>56</v>
      </c>
      <c r="L3" s="10" t="s">
        <v>57</v>
      </c>
      <c r="M3" s="10" t="s">
        <v>22</v>
      </c>
      <c r="N3" s="42" t="s">
        <v>11</v>
      </c>
      <c r="O3" s="59" t="s">
        <v>12</v>
      </c>
    </row>
    <row r="4" ht="24" customHeight="1" spans="1:15">
      <c r="A4" s="53">
        <v>1</v>
      </c>
      <c r="B4" s="53" t="s">
        <v>857</v>
      </c>
      <c r="C4" s="53" t="s">
        <v>858</v>
      </c>
      <c r="D4" s="53"/>
      <c r="E4" s="53" t="s">
        <v>427</v>
      </c>
      <c r="F4" s="54">
        <v>3</v>
      </c>
      <c r="G4" s="14">
        <v>4500</v>
      </c>
      <c r="H4" s="55">
        <f>G4*F4</f>
        <v>13500</v>
      </c>
      <c r="I4" s="55">
        <v>3150</v>
      </c>
      <c r="J4" s="55"/>
      <c r="K4" s="55"/>
      <c r="L4" s="55"/>
      <c r="M4" s="55"/>
      <c r="N4" s="43"/>
      <c r="O4" s="60"/>
    </row>
    <row r="5" ht="24" customHeight="1" spans="1:15">
      <c r="A5" s="53">
        <v>2</v>
      </c>
      <c r="B5" s="53"/>
      <c r="C5" s="53" t="s">
        <v>859</v>
      </c>
      <c r="D5" s="53"/>
      <c r="E5" s="53" t="s">
        <v>427</v>
      </c>
      <c r="F5" s="54">
        <v>56</v>
      </c>
      <c r="G5" s="14">
        <v>250</v>
      </c>
      <c r="H5" s="55">
        <f t="shared" ref="H5:H12" si="0">G5*F5</f>
        <v>14000</v>
      </c>
      <c r="I5" s="55">
        <v>175</v>
      </c>
      <c r="J5" s="55"/>
      <c r="K5" s="55"/>
      <c r="L5" s="55"/>
      <c r="M5" s="55"/>
      <c r="N5" s="43"/>
      <c r="O5" s="60"/>
    </row>
    <row r="6" ht="24" customHeight="1" spans="1:15">
      <c r="A6" s="53">
        <v>3</v>
      </c>
      <c r="B6" s="53"/>
      <c r="C6" s="53" t="s">
        <v>860</v>
      </c>
      <c r="D6" s="53"/>
      <c r="E6" s="53" t="s">
        <v>427</v>
      </c>
      <c r="F6" s="54">
        <v>56</v>
      </c>
      <c r="G6" s="14">
        <v>250</v>
      </c>
      <c r="H6" s="55">
        <f t="shared" si="0"/>
        <v>14000</v>
      </c>
      <c r="I6" s="55">
        <v>175</v>
      </c>
      <c r="J6" s="55"/>
      <c r="K6" s="55"/>
      <c r="L6" s="55"/>
      <c r="M6" s="55"/>
      <c r="N6" s="43"/>
      <c r="O6" s="31"/>
    </row>
    <row r="7" ht="24" customHeight="1" spans="1:15">
      <c r="A7" s="53">
        <v>4</v>
      </c>
      <c r="B7" s="53"/>
      <c r="C7" s="53" t="s">
        <v>861</v>
      </c>
      <c r="D7" s="53"/>
      <c r="E7" s="53" t="s">
        <v>427</v>
      </c>
      <c r="F7" s="54">
        <v>4</v>
      </c>
      <c r="G7" s="14">
        <v>380</v>
      </c>
      <c r="H7" s="55">
        <f t="shared" si="0"/>
        <v>1520</v>
      </c>
      <c r="I7" s="55">
        <v>266</v>
      </c>
      <c r="J7" s="55"/>
      <c r="K7" s="55"/>
      <c r="L7" s="55"/>
      <c r="M7" s="55"/>
      <c r="N7" s="43"/>
      <c r="O7" s="60"/>
    </row>
    <row r="8" ht="24" customHeight="1" spans="1:15">
      <c r="A8" s="53">
        <v>5</v>
      </c>
      <c r="B8" s="53"/>
      <c r="C8" s="53" t="s">
        <v>862</v>
      </c>
      <c r="D8" s="53"/>
      <c r="E8" s="53" t="s">
        <v>213</v>
      </c>
      <c r="F8" s="56">
        <v>15</v>
      </c>
      <c r="G8" s="14">
        <f>180*12</f>
        <v>2160</v>
      </c>
      <c r="H8" s="55">
        <f t="shared" si="0"/>
        <v>32400</v>
      </c>
      <c r="I8" s="55">
        <v>1512</v>
      </c>
      <c r="J8" s="55"/>
      <c r="K8" s="55"/>
      <c r="L8" s="55"/>
      <c r="M8" s="55"/>
      <c r="N8" s="43"/>
      <c r="O8" s="31"/>
    </row>
    <row r="9" ht="24" customHeight="1" spans="1:15">
      <c r="A9" s="53">
        <v>6</v>
      </c>
      <c r="B9" s="53"/>
      <c r="C9" s="53" t="s">
        <v>863</v>
      </c>
      <c r="D9" s="53"/>
      <c r="E9" s="53" t="s">
        <v>427</v>
      </c>
      <c r="F9" s="54">
        <v>32</v>
      </c>
      <c r="G9" s="14">
        <v>250</v>
      </c>
      <c r="H9" s="55">
        <f t="shared" si="0"/>
        <v>8000</v>
      </c>
      <c r="I9" s="55">
        <v>175</v>
      </c>
      <c r="J9" s="55"/>
      <c r="K9" s="55"/>
      <c r="L9" s="55"/>
      <c r="M9" s="55"/>
      <c r="N9" s="43"/>
      <c r="O9" s="60"/>
    </row>
    <row r="10" ht="24" customHeight="1" spans="1:15">
      <c r="A10" s="53">
        <v>7</v>
      </c>
      <c r="B10" s="53"/>
      <c r="C10" s="53" t="s">
        <v>864</v>
      </c>
      <c r="D10" s="53"/>
      <c r="E10" s="53" t="s">
        <v>213</v>
      </c>
      <c r="F10" s="56">
        <v>4</v>
      </c>
      <c r="G10" s="14">
        <f>G8</f>
        <v>2160</v>
      </c>
      <c r="H10" s="55">
        <f t="shared" si="0"/>
        <v>8640</v>
      </c>
      <c r="I10" s="55">
        <v>1512</v>
      </c>
      <c r="J10" s="55"/>
      <c r="K10" s="55"/>
      <c r="L10" s="55"/>
      <c r="M10" s="55"/>
      <c r="N10" s="43"/>
      <c r="O10" s="60"/>
    </row>
    <row r="11" ht="24" customHeight="1" spans="1:15">
      <c r="A11" s="53">
        <v>8</v>
      </c>
      <c r="B11" s="53"/>
      <c r="C11" s="53" t="s">
        <v>865</v>
      </c>
      <c r="D11" s="53"/>
      <c r="E11" s="53" t="s">
        <v>427</v>
      </c>
      <c r="F11" s="56">
        <v>16</v>
      </c>
      <c r="G11" s="14">
        <v>380</v>
      </c>
      <c r="H11" s="55">
        <f t="shared" si="0"/>
        <v>6080</v>
      </c>
      <c r="I11" s="55">
        <v>266</v>
      </c>
      <c r="J11" s="55"/>
      <c r="K11" s="55"/>
      <c r="L11" s="55"/>
      <c r="M11" s="55"/>
      <c r="N11" s="43"/>
      <c r="O11" s="60"/>
    </row>
    <row r="12" ht="24" customHeight="1" spans="1:15">
      <c r="A12" s="53">
        <v>9</v>
      </c>
      <c r="B12" s="53"/>
      <c r="C12" s="53" t="s">
        <v>866</v>
      </c>
      <c r="D12" s="53"/>
      <c r="E12" s="53" t="s">
        <v>427</v>
      </c>
      <c r="F12" s="56">
        <v>18</v>
      </c>
      <c r="G12" s="14">
        <v>250</v>
      </c>
      <c r="H12" s="55">
        <f t="shared" si="0"/>
        <v>4500</v>
      </c>
      <c r="I12" s="55">
        <v>175</v>
      </c>
      <c r="J12" s="55"/>
      <c r="K12" s="55"/>
      <c r="L12" s="55"/>
      <c r="M12" s="55"/>
      <c r="N12" s="43"/>
      <c r="O12" s="60"/>
    </row>
    <row r="13" ht="24" customHeight="1" spans="1:15">
      <c r="A13" s="40" t="s">
        <v>867</v>
      </c>
      <c r="B13" s="40"/>
      <c r="C13" s="40"/>
      <c r="D13" s="40"/>
      <c r="E13" s="40"/>
      <c r="F13" s="41"/>
      <c r="G13" s="14"/>
      <c r="H13" s="57">
        <f>SUM(H4:H12)</f>
        <v>102640</v>
      </c>
      <c r="I13" s="40"/>
      <c r="J13" s="57"/>
      <c r="K13" s="57"/>
      <c r="L13" s="57"/>
      <c r="M13" s="57"/>
      <c r="N13" s="61"/>
      <c r="O13" s="31"/>
    </row>
    <row r="14" ht="24" customHeight="1" spans="1:15">
      <c r="A14" s="53">
        <v>10</v>
      </c>
      <c r="B14" s="53" t="s">
        <v>868</v>
      </c>
      <c r="C14" s="53" t="s">
        <v>859</v>
      </c>
      <c r="D14" s="53"/>
      <c r="E14" s="53" t="s">
        <v>869</v>
      </c>
      <c r="F14" s="54">
        <f t="shared" ref="F14:F21" si="1">F5*100</f>
        <v>5600</v>
      </c>
      <c r="G14" s="14">
        <v>50</v>
      </c>
      <c r="H14" s="55">
        <f t="shared" ref="H14:H21" si="2">G14*F14</f>
        <v>280000</v>
      </c>
      <c r="I14" s="55">
        <v>35</v>
      </c>
      <c r="J14" s="55"/>
      <c r="K14" s="55"/>
      <c r="L14" s="55"/>
      <c r="M14" s="55"/>
      <c r="N14" s="43"/>
      <c r="O14" s="60"/>
    </row>
    <row r="15" ht="24" customHeight="1" spans="1:15">
      <c r="A15" s="53">
        <v>11</v>
      </c>
      <c r="B15" s="53"/>
      <c r="C15" s="53" t="s">
        <v>860</v>
      </c>
      <c r="D15" s="53"/>
      <c r="E15" s="53" t="s">
        <v>869</v>
      </c>
      <c r="F15" s="54">
        <f t="shared" si="1"/>
        <v>5600</v>
      </c>
      <c r="G15" s="14">
        <v>50</v>
      </c>
      <c r="H15" s="55">
        <f t="shared" si="2"/>
        <v>280000</v>
      </c>
      <c r="I15" s="55">
        <v>35</v>
      </c>
      <c r="J15" s="55"/>
      <c r="K15" s="55"/>
      <c r="L15" s="55"/>
      <c r="M15" s="55"/>
      <c r="N15" s="43"/>
      <c r="O15" s="60"/>
    </row>
    <row r="16" ht="24" customHeight="1" spans="1:15">
      <c r="A16" s="53">
        <v>12</v>
      </c>
      <c r="B16" s="53"/>
      <c r="C16" s="53" t="s">
        <v>870</v>
      </c>
      <c r="D16" s="53"/>
      <c r="E16" s="53" t="s">
        <v>869</v>
      </c>
      <c r="F16" s="54">
        <f t="shared" si="1"/>
        <v>400</v>
      </c>
      <c r="G16" s="14">
        <v>116</v>
      </c>
      <c r="H16" s="55">
        <f t="shared" si="2"/>
        <v>46400</v>
      </c>
      <c r="I16" s="55">
        <v>81.2</v>
      </c>
      <c r="J16" s="55"/>
      <c r="K16" s="55"/>
      <c r="L16" s="55"/>
      <c r="M16" s="55"/>
      <c r="N16" s="43"/>
      <c r="O16" s="60"/>
    </row>
    <row r="17" ht="24" customHeight="1" spans="1:15">
      <c r="A17" s="53">
        <v>13</v>
      </c>
      <c r="B17" s="53"/>
      <c r="C17" s="53" t="s">
        <v>862</v>
      </c>
      <c r="D17" s="53"/>
      <c r="E17" s="53" t="s">
        <v>869</v>
      </c>
      <c r="F17" s="54">
        <f t="shared" si="1"/>
        <v>1500</v>
      </c>
      <c r="G17" s="14">
        <v>600</v>
      </c>
      <c r="H17" s="55">
        <f t="shared" si="2"/>
        <v>900000</v>
      </c>
      <c r="I17" s="55">
        <v>420</v>
      </c>
      <c r="J17" s="55"/>
      <c r="K17" s="55"/>
      <c r="L17" s="55"/>
      <c r="M17" s="55"/>
      <c r="N17" s="43"/>
      <c r="O17" s="60"/>
    </row>
    <row r="18" ht="24" customHeight="1" spans="1:15">
      <c r="A18" s="53">
        <v>14</v>
      </c>
      <c r="B18" s="53"/>
      <c r="C18" s="53" t="s">
        <v>863</v>
      </c>
      <c r="D18" s="53"/>
      <c r="E18" s="53" t="s">
        <v>869</v>
      </c>
      <c r="F18" s="54">
        <f t="shared" si="1"/>
        <v>3200</v>
      </c>
      <c r="G18" s="14">
        <v>50</v>
      </c>
      <c r="H18" s="55">
        <f t="shared" si="2"/>
        <v>160000</v>
      </c>
      <c r="I18" s="55">
        <v>35</v>
      </c>
      <c r="J18" s="55"/>
      <c r="K18" s="55"/>
      <c r="L18" s="55"/>
      <c r="M18" s="55"/>
      <c r="N18" s="43"/>
      <c r="O18" s="60"/>
    </row>
    <row r="19" ht="24" customHeight="1" spans="1:15">
      <c r="A19" s="53">
        <v>15</v>
      </c>
      <c r="B19" s="53"/>
      <c r="C19" s="53" t="s">
        <v>864</v>
      </c>
      <c r="D19" s="53"/>
      <c r="E19" s="53" t="s">
        <v>869</v>
      </c>
      <c r="F19" s="54">
        <f t="shared" si="1"/>
        <v>400</v>
      </c>
      <c r="G19" s="14">
        <v>200</v>
      </c>
      <c r="H19" s="55">
        <f t="shared" si="2"/>
        <v>80000</v>
      </c>
      <c r="I19" s="55">
        <v>140</v>
      </c>
      <c r="J19" s="55"/>
      <c r="K19" s="55"/>
      <c r="L19" s="55"/>
      <c r="M19" s="55"/>
      <c r="N19" s="43"/>
      <c r="O19" s="60"/>
    </row>
    <row r="20" ht="24" customHeight="1" spans="1:15">
      <c r="A20" s="53">
        <v>16</v>
      </c>
      <c r="B20" s="53"/>
      <c r="C20" s="53" t="s">
        <v>865</v>
      </c>
      <c r="D20" s="53"/>
      <c r="E20" s="53" t="s">
        <v>869</v>
      </c>
      <c r="F20" s="54">
        <f t="shared" si="1"/>
        <v>1600</v>
      </c>
      <c r="G20" s="14">
        <v>116</v>
      </c>
      <c r="H20" s="55">
        <f t="shared" si="2"/>
        <v>185600</v>
      </c>
      <c r="I20" s="55">
        <v>81.2</v>
      </c>
      <c r="J20" s="55"/>
      <c r="K20" s="55"/>
      <c r="L20" s="55"/>
      <c r="M20" s="55"/>
      <c r="N20" s="43"/>
      <c r="O20" s="60"/>
    </row>
    <row r="21" ht="24" customHeight="1" spans="1:15">
      <c r="A21" s="53">
        <v>17</v>
      </c>
      <c r="B21" s="53"/>
      <c r="C21" s="53" t="s">
        <v>866</v>
      </c>
      <c r="D21" s="53"/>
      <c r="E21" s="53" t="s">
        <v>869</v>
      </c>
      <c r="F21" s="54">
        <f t="shared" si="1"/>
        <v>1800</v>
      </c>
      <c r="G21" s="14">
        <v>740</v>
      </c>
      <c r="H21" s="55">
        <f t="shared" si="2"/>
        <v>1332000</v>
      </c>
      <c r="I21" s="55">
        <v>518</v>
      </c>
      <c r="J21" s="55"/>
      <c r="K21" s="55"/>
      <c r="L21" s="55"/>
      <c r="M21" s="55"/>
      <c r="N21" s="31"/>
      <c r="O21" s="60"/>
    </row>
    <row r="22" ht="24" customHeight="1" spans="1:15">
      <c r="A22" s="40" t="s">
        <v>871</v>
      </c>
      <c r="B22" s="40"/>
      <c r="C22" s="40"/>
      <c r="D22" s="40"/>
      <c r="E22" s="40"/>
      <c r="F22" s="41"/>
      <c r="G22" s="40"/>
      <c r="H22" s="57">
        <f>SUM(H14:H21)</f>
        <v>3264000</v>
      </c>
      <c r="I22" s="40"/>
      <c r="J22" s="57">
        <f>SUM(J14:J21)</f>
        <v>0</v>
      </c>
      <c r="K22" s="57"/>
      <c r="L22" s="57"/>
      <c r="M22" s="57"/>
      <c r="N22" s="40"/>
      <c r="O22" s="61"/>
    </row>
    <row r="23" ht="24" customHeight="1" spans="1:15">
      <c r="A23" s="58" t="s">
        <v>872</v>
      </c>
      <c r="B23" s="58"/>
      <c r="C23" s="58"/>
      <c r="D23" s="58"/>
      <c r="E23" s="58"/>
      <c r="F23" s="58"/>
      <c r="G23" s="58"/>
      <c r="H23" s="57">
        <f>H22*N23</f>
        <v>0</v>
      </c>
      <c r="I23" s="58"/>
      <c r="J23" s="57">
        <f>J22*N23</f>
        <v>0</v>
      </c>
      <c r="K23" s="57"/>
      <c r="L23" s="57"/>
      <c r="M23" s="57"/>
      <c r="N23" s="62"/>
      <c r="O23" s="31"/>
    </row>
    <row r="24" ht="24" customHeight="1" spans="1:15">
      <c r="A24" s="40" t="s">
        <v>873</v>
      </c>
      <c r="B24" s="40"/>
      <c r="C24" s="40"/>
      <c r="D24" s="40"/>
      <c r="E24" s="40"/>
      <c r="F24" s="41"/>
      <c r="G24" s="40"/>
      <c r="H24" s="57">
        <f>H23+H22+H13</f>
        <v>3366640</v>
      </c>
      <c r="I24" s="40"/>
      <c r="J24" s="57">
        <f>J23+J22+J13</f>
        <v>0</v>
      </c>
      <c r="K24" s="57"/>
      <c r="L24" s="57"/>
      <c r="M24" s="57"/>
      <c r="N24" s="40"/>
      <c r="O24" s="61"/>
    </row>
    <row r="25" ht="24.95" customHeight="1"/>
    <row r="26" ht="24.95" customHeight="1"/>
    <row r="27" ht="24.95" customHeight="1"/>
  </sheetData>
  <mergeCells count="26">
    <mergeCell ref="A1:O1"/>
    <mergeCell ref="A2:O2"/>
    <mergeCell ref="B3:D3"/>
    <mergeCell ref="C4:D4"/>
    <mergeCell ref="C5:D5"/>
    <mergeCell ref="C6:D6"/>
    <mergeCell ref="C7:D7"/>
    <mergeCell ref="C8:D8"/>
    <mergeCell ref="C9:D9"/>
    <mergeCell ref="C10:D10"/>
    <mergeCell ref="C11:D11"/>
    <mergeCell ref="C12:D12"/>
    <mergeCell ref="A13:F13"/>
    <mergeCell ref="C14:D14"/>
    <mergeCell ref="C15:D15"/>
    <mergeCell ref="C16:D16"/>
    <mergeCell ref="C17:D17"/>
    <mergeCell ref="C18:D18"/>
    <mergeCell ref="C19:D19"/>
    <mergeCell ref="C20:D20"/>
    <mergeCell ref="C21:D21"/>
    <mergeCell ref="A22:F22"/>
    <mergeCell ref="A23:F23"/>
    <mergeCell ref="A24:F24"/>
    <mergeCell ref="B4:B12"/>
    <mergeCell ref="B14:B21"/>
  </mergeCells>
  <pageMargins left="0.75" right="0.75" top="1" bottom="1" header="0.5" footer="0.5"/>
  <pageSetup paperSize="9" scale="53"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P13"/>
  <sheetViews>
    <sheetView view="pageBreakPreview" zoomScale="115" zoomScaleNormal="100" workbookViewId="0">
      <pane ySplit="3" topLeftCell="A4" activePane="bottomLeft" state="frozen"/>
      <selection/>
      <selection pane="bottomLeft" activeCell="N15" sqref="N15"/>
    </sheetView>
  </sheetViews>
  <sheetFormatPr defaultColWidth="9" defaultRowHeight="14.25"/>
  <cols>
    <col min="1" max="1" width="6.125" style="3" customWidth="1"/>
    <col min="2" max="2" width="17.625" style="3" customWidth="1"/>
    <col min="3" max="3" width="20.25" style="3" customWidth="1"/>
    <col min="4" max="4" width="9" style="3"/>
    <col min="5" max="5" width="10.25" style="4"/>
    <col min="6" max="6" width="10.25" style="3" hidden="1" customWidth="1"/>
    <col min="7" max="7" width="15" style="3" hidden="1" customWidth="1"/>
    <col min="8" max="8" width="11.875" style="3" customWidth="1"/>
    <col min="9" max="10" width="15.375" style="3" customWidth="1"/>
    <col min="11" max="11" width="13.25" style="3" customWidth="1"/>
    <col min="12" max="12" width="13.125" style="3" customWidth="1"/>
    <col min="13" max="13" width="13.875" style="3" customWidth="1"/>
    <col min="14" max="14" width="20.25" style="3" customWidth="1"/>
    <col min="15" max="16384" width="9" style="3"/>
  </cols>
  <sheetData>
    <row r="1" ht="30.95" customHeight="1" spans="1:14">
      <c r="A1" s="33" t="s">
        <v>874</v>
      </c>
      <c r="B1" s="33"/>
      <c r="C1" s="33"/>
      <c r="D1" s="33"/>
      <c r="E1" s="34"/>
      <c r="F1" s="33"/>
      <c r="G1" s="33"/>
      <c r="H1" s="33"/>
      <c r="I1" s="33"/>
      <c r="J1" s="33"/>
      <c r="K1" s="33"/>
      <c r="L1" s="33"/>
      <c r="M1" s="33"/>
      <c r="N1" s="33"/>
    </row>
    <row r="2" ht="33" customHeight="1" spans="1:14">
      <c r="A2" s="7" t="str">
        <f>'1、基坑监测'!A2</f>
        <v>工程名称：天河区凌塘村城中村改造项目-首开区复建安置房及配套设施工程第三方检测及监测技术服务</v>
      </c>
      <c r="B2" s="7"/>
      <c r="C2" s="7"/>
      <c r="D2" s="7"/>
      <c r="E2" s="8"/>
      <c r="F2" s="7"/>
      <c r="G2" s="7"/>
      <c r="H2" s="7"/>
      <c r="I2" s="7"/>
      <c r="J2" s="7"/>
      <c r="K2" s="7"/>
      <c r="L2" s="7"/>
      <c r="M2" s="7"/>
      <c r="N2" s="7"/>
    </row>
    <row r="3" ht="24" customHeight="1" spans="1:14">
      <c r="A3" s="9" t="s">
        <v>18</v>
      </c>
      <c r="B3" s="9" t="s">
        <v>875</v>
      </c>
      <c r="C3" s="9" t="s">
        <v>876</v>
      </c>
      <c r="D3" s="10" t="s">
        <v>20</v>
      </c>
      <c r="E3" s="11" t="s">
        <v>51</v>
      </c>
      <c r="F3" s="10" t="s">
        <v>52</v>
      </c>
      <c r="G3" s="10" t="s">
        <v>53</v>
      </c>
      <c r="H3" s="10" t="str">
        <f>'1、基坑监测'!I3</f>
        <v>全费用综合单价限价（元）</v>
      </c>
      <c r="I3" s="10" t="s">
        <v>55</v>
      </c>
      <c r="J3" s="10" t="s">
        <v>56</v>
      </c>
      <c r="K3" s="10" t="s">
        <v>57</v>
      </c>
      <c r="L3" s="10" t="s">
        <v>476</v>
      </c>
      <c r="M3" s="42" t="s">
        <v>11</v>
      </c>
      <c r="N3" s="9" t="s">
        <v>877</v>
      </c>
    </row>
    <row r="4" ht="24" customHeight="1" spans="1:14">
      <c r="A4" s="12">
        <v>1</v>
      </c>
      <c r="B4" s="12" t="s">
        <v>878</v>
      </c>
      <c r="C4" s="12" t="s">
        <v>879</v>
      </c>
      <c r="D4" s="12" t="s">
        <v>427</v>
      </c>
      <c r="E4" s="13">
        <v>3</v>
      </c>
      <c r="F4" s="14">
        <v>250</v>
      </c>
      <c r="G4" s="35">
        <f t="shared" ref="G4:G8" si="0">F4*E4</f>
        <v>750</v>
      </c>
      <c r="H4" s="35">
        <v>175</v>
      </c>
      <c r="I4" s="35"/>
      <c r="J4" s="35"/>
      <c r="K4" s="35"/>
      <c r="L4" s="35"/>
      <c r="M4" s="43"/>
      <c r="N4" s="44"/>
    </row>
    <row r="5" ht="24" customHeight="1" spans="1:14">
      <c r="A5" s="12">
        <v>2</v>
      </c>
      <c r="B5" s="12"/>
      <c r="C5" s="12" t="s">
        <v>880</v>
      </c>
      <c r="D5" s="12" t="s">
        <v>427</v>
      </c>
      <c r="E5" s="13">
        <v>70</v>
      </c>
      <c r="F5" s="14">
        <v>250</v>
      </c>
      <c r="G5" s="35">
        <f t="shared" si="0"/>
        <v>17500</v>
      </c>
      <c r="H5" s="35">
        <v>175</v>
      </c>
      <c r="I5" s="35"/>
      <c r="J5" s="35"/>
      <c r="K5" s="35"/>
      <c r="L5" s="35"/>
      <c r="M5" s="43"/>
      <c r="N5" s="44"/>
    </row>
    <row r="6" s="1" customFormat="1" ht="24" customHeight="1" spans="1:16">
      <c r="A6" s="9" t="s">
        <v>867</v>
      </c>
      <c r="B6" s="9"/>
      <c r="C6" s="9"/>
      <c r="D6" s="9"/>
      <c r="E6" s="36"/>
      <c r="F6" s="30"/>
      <c r="G6" s="19">
        <f>SUM(G4:G5)</f>
        <v>18250</v>
      </c>
      <c r="H6" s="9"/>
      <c r="I6" s="19"/>
      <c r="J6" s="19"/>
      <c r="K6" s="19"/>
      <c r="L6" s="19"/>
      <c r="M6" s="21"/>
      <c r="N6" s="45"/>
      <c r="P6" s="3"/>
    </row>
    <row r="7" s="1" customFormat="1" ht="24" customHeight="1" spans="1:16">
      <c r="A7" s="12">
        <v>3</v>
      </c>
      <c r="B7" s="12" t="s">
        <v>868</v>
      </c>
      <c r="C7" s="12" t="s">
        <v>881</v>
      </c>
      <c r="D7" s="12" t="s">
        <v>882</v>
      </c>
      <c r="E7" s="13">
        <v>15</v>
      </c>
      <c r="F7" s="14">
        <v>1216</v>
      </c>
      <c r="G7" s="35">
        <f t="shared" si="0"/>
        <v>18240</v>
      </c>
      <c r="H7" s="35">
        <v>851.2</v>
      </c>
      <c r="I7" s="35"/>
      <c r="J7" s="35"/>
      <c r="K7" s="35"/>
      <c r="L7" s="35"/>
      <c r="M7" s="43"/>
      <c r="N7" s="44"/>
      <c r="P7" s="3"/>
    </row>
    <row r="8" ht="24" customHeight="1" spans="1:14">
      <c r="A8" s="12">
        <v>4</v>
      </c>
      <c r="B8" s="12"/>
      <c r="C8" s="12" t="s">
        <v>883</v>
      </c>
      <c r="D8" s="20" t="s">
        <v>668</v>
      </c>
      <c r="E8" s="37">
        <f>E5*15</f>
        <v>1050</v>
      </c>
      <c r="F8" s="14">
        <v>50</v>
      </c>
      <c r="G8" s="35">
        <f t="shared" si="0"/>
        <v>52500</v>
      </c>
      <c r="H8" s="35">
        <v>35</v>
      </c>
      <c r="I8" s="35"/>
      <c r="J8" s="35"/>
      <c r="K8" s="35"/>
      <c r="L8" s="35"/>
      <c r="M8" s="43"/>
      <c r="N8" s="44"/>
    </row>
    <row r="9" s="1" customFormat="1" ht="24" customHeight="1" spans="1:16">
      <c r="A9" s="9" t="s">
        <v>871</v>
      </c>
      <c r="B9" s="9"/>
      <c r="C9" s="9"/>
      <c r="D9" s="9"/>
      <c r="E9" s="36"/>
      <c r="F9" s="9"/>
      <c r="G9" s="19">
        <f>SUM(G7:G8)</f>
        <v>70740</v>
      </c>
      <c r="H9" s="9"/>
      <c r="I9" s="19">
        <f>SUM(I7:I8)</f>
        <v>0</v>
      </c>
      <c r="J9" s="19"/>
      <c r="K9" s="19"/>
      <c r="L9" s="19"/>
      <c r="M9" s="9"/>
      <c r="N9" s="45"/>
      <c r="P9" s="3"/>
    </row>
    <row r="10" s="1" customFormat="1" ht="24" customHeight="1" spans="1:16">
      <c r="A10" s="38" t="s">
        <v>884</v>
      </c>
      <c r="B10" s="38"/>
      <c r="C10" s="38"/>
      <c r="D10" s="38"/>
      <c r="E10" s="39"/>
      <c r="F10" s="38"/>
      <c r="G10" s="19">
        <f>G9*M10</f>
        <v>0</v>
      </c>
      <c r="H10" s="38"/>
      <c r="I10" s="19">
        <f>I9*M10</f>
        <v>0</v>
      </c>
      <c r="J10" s="19"/>
      <c r="K10" s="19"/>
      <c r="L10" s="19"/>
      <c r="M10" s="46"/>
      <c r="N10" s="47"/>
      <c r="P10" s="3"/>
    </row>
    <row r="11" s="1" customFormat="1" ht="24" customHeight="1" spans="1:14">
      <c r="A11" s="40" t="s">
        <v>873</v>
      </c>
      <c r="B11" s="40"/>
      <c r="C11" s="40"/>
      <c r="D11" s="40"/>
      <c r="E11" s="41"/>
      <c r="F11" s="40"/>
      <c r="G11" s="19">
        <f>G6+G9+G10</f>
        <v>88990</v>
      </c>
      <c r="H11" s="40"/>
      <c r="I11" s="19">
        <f>I6+I9+I10</f>
        <v>0</v>
      </c>
      <c r="J11" s="19"/>
      <c r="K11" s="19"/>
      <c r="L11" s="19"/>
      <c r="M11" s="40"/>
      <c r="N11" s="45"/>
    </row>
    <row r="13" spans="8:8">
      <c r="H13" s="3">
        <v>1114</v>
      </c>
    </row>
  </sheetData>
  <mergeCells count="8">
    <mergeCell ref="A1:N1"/>
    <mergeCell ref="A2:N2"/>
    <mergeCell ref="A6:E6"/>
    <mergeCell ref="A9:E9"/>
    <mergeCell ref="A10:E10"/>
    <mergeCell ref="A11:E11"/>
    <mergeCell ref="B4:B5"/>
    <mergeCell ref="B7:B8"/>
  </mergeCells>
  <pageMargins left="0.75" right="0.75" top="1" bottom="1" header="0.5" footer="0.5"/>
  <pageSetup paperSize="9" scale="4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view="pageBreakPreview" zoomScaleNormal="100" workbookViewId="0">
      <selection activeCell="E15" sqref="E15"/>
    </sheetView>
  </sheetViews>
  <sheetFormatPr defaultColWidth="9" defaultRowHeight="13.5" outlineLevelRow="6" outlineLevelCol="7"/>
  <cols>
    <col min="1" max="3" width="16.625" customWidth="1"/>
    <col min="4" max="4" width="21.75" customWidth="1"/>
    <col min="5" max="5" width="29.25" style="327" customWidth="1"/>
    <col min="6" max="6" width="11.75" style="327" customWidth="1"/>
    <col min="7" max="7" width="16.375" style="327" customWidth="1"/>
    <col min="8" max="8" width="13" customWidth="1"/>
  </cols>
  <sheetData>
    <row r="1" ht="40.5" customHeight="1" spans="1:8">
      <c r="A1" s="328" t="s">
        <v>3</v>
      </c>
      <c r="B1" s="328"/>
      <c r="C1" s="328"/>
      <c r="D1" s="328"/>
      <c r="E1" s="328"/>
      <c r="F1" s="328"/>
      <c r="G1" s="328"/>
      <c r="H1" s="328"/>
    </row>
    <row r="2" ht="43.5" customHeight="1" spans="1:8">
      <c r="A2" s="329" t="s">
        <v>4</v>
      </c>
      <c r="B2" s="329"/>
      <c r="C2" s="329"/>
      <c r="D2" s="329"/>
      <c r="E2" s="329"/>
      <c r="F2" s="329"/>
      <c r="G2" s="329"/>
      <c r="H2" s="329"/>
    </row>
    <row r="3" ht="30" customHeight="1" spans="1:8">
      <c r="A3" s="330" t="s">
        <v>5</v>
      </c>
      <c r="B3" s="330" t="s">
        <v>6</v>
      </c>
      <c r="C3" s="331" t="s">
        <v>7</v>
      </c>
      <c r="D3" s="331" t="s">
        <v>8</v>
      </c>
      <c r="E3" s="332" t="s">
        <v>9</v>
      </c>
      <c r="F3" s="332" t="s">
        <v>10</v>
      </c>
      <c r="G3" s="332" t="s">
        <v>11</v>
      </c>
      <c r="H3" s="330" t="s">
        <v>12</v>
      </c>
    </row>
    <row r="4" ht="45.95" customHeight="1" spans="1:8">
      <c r="A4" s="330"/>
      <c r="B4" s="330"/>
      <c r="C4" s="333"/>
      <c r="D4" s="333"/>
      <c r="E4" s="334"/>
      <c r="F4" s="334"/>
      <c r="G4" s="334"/>
      <c r="H4" s="330"/>
    </row>
    <row r="5" ht="57" customHeight="1" spans="1:8">
      <c r="A5" s="335">
        <v>1</v>
      </c>
      <c r="B5" s="336" t="s">
        <v>13</v>
      </c>
      <c r="C5" s="336">
        <v>7804265.82</v>
      </c>
      <c r="D5" s="336"/>
      <c r="E5" s="337"/>
      <c r="F5" s="337" t="s">
        <v>14</v>
      </c>
      <c r="G5" s="337"/>
      <c r="H5" s="338"/>
    </row>
    <row r="6" ht="57" customHeight="1" spans="1:8">
      <c r="A6" s="335">
        <v>2</v>
      </c>
      <c r="B6" s="336" t="s">
        <v>15</v>
      </c>
      <c r="C6" s="336">
        <v>3309230.33</v>
      </c>
      <c r="D6" s="336"/>
      <c r="E6" s="337"/>
      <c r="F6" s="337" t="s">
        <v>14</v>
      </c>
      <c r="G6" s="337"/>
      <c r="H6" s="338"/>
    </row>
    <row r="7" ht="66" customHeight="1" spans="1:8">
      <c r="A7" s="335">
        <v>3</v>
      </c>
      <c r="B7" s="336" t="s">
        <v>16</v>
      </c>
      <c r="C7" s="336">
        <f>C5+C6</f>
        <v>11113496.15</v>
      </c>
      <c r="D7" s="336"/>
      <c r="E7" s="337"/>
      <c r="F7" s="337"/>
      <c r="G7" s="337"/>
      <c r="H7" s="338"/>
    </row>
  </sheetData>
  <mergeCells count="10">
    <mergeCell ref="A1:H1"/>
    <mergeCell ref="A2:H2"/>
    <mergeCell ref="A3:A4"/>
    <mergeCell ref="B3:B4"/>
    <mergeCell ref="C3:C4"/>
    <mergeCell ref="D3:D4"/>
    <mergeCell ref="E3:E4"/>
    <mergeCell ref="F3:F4"/>
    <mergeCell ref="G3:G4"/>
    <mergeCell ref="H3:H4"/>
  </mergeCells>
  <pageMargins left="0.75" right="0.75" top="1" bottom="1" header="0.5" footer="0.5"/>
  <pageSetup paperSize="9" scale="75"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N15"/>
  <sheetViews>
    <sheetView view="pageBreakPreview" zoomScaleNormal="100" workbookViewId="0">
      <selection activeCell="O14" sqref="O14"/>
    </sheetView>
  </sheetViews>
  <sheetFormatPr defaultColWidth="9" defaultRowHeight="14.25"/>
  <cols>
    <col min="1" max="1" width="9" style="2"/>
    <col min="2" max="2" width="9" style="3"/>
    <col min="3" max="3" width="14.5" style="2" customWidth="1"/>
    <col min="4" max="4" width="9" style="3"/>
    <col min="5" max="5" width="14.5" style="4" customWidth="1"/>
    <col min="6" max="6" width="8.75" style="3" hidden="1" customWidth="1"/>
    <col min="7" max="7" width="15.75" style="3" hidden="1" customWidth="1"/>
    <col min="8" max="8" width="11" style="3" customWidth="1"/>
    <col min="9" max="13" width="13.875" style="3" customWidth="1"/>
    <col min="14" max="14" width="12.75" style="3" customWidth="1"/>
    <col min="15" max="16384" width="9" style="3"/>
  </cols>
  <sheetData>
    <row r="1" ht="33" customHeight="1" spans="1:14">
      <c r="A1" s="5" t="s">
        <v>885</v>
      </c>
      <c r="B1" s="5"/>
      <c r="C1" s="5"/>
      <c r="D1" s="5"/>
      <c r="E1" s="6"/>
      <c r="N1" s="5"/>
    </row>
    <row r="2" ht="24" customHeight="1" spans="1:14">
      <c r="A2" s="7" t="str">
        <f>'2、主体沉降监测'!A2</f>
        <v>工程名称：天河区凌塘村城中村改造项目-首开区复建安置房及配套设施工程第三方检测及监测技术服务</v>
      </c>
      <c r="B2" s="7"/>
      <c r="C2" s="7"/>
      <c r="D2" s="7"/>
      <c r="E2" s="8"/>
      <c r="F2" s="7"/>
      <c r="G2" s="7"/>
      <c r="H2" s="7"/>
      <c r="I2" s="7"/>
      <c r="J2" s="7"/>
      <c r="K2" s="7"/>
      <c r="L2" s="7"/>
      <c r="M2" s="7"/>
      <c r="N2" s="7"/>
    </row>
    <row r="3" ht="38.1" customHeight="1" spans="1:14">
      <c r="A3" s="9" t="s">
        <v>18</v>
      </c>
      <c r="B3" s="9" t="s">
        <v>886</v>
      </c>
      <c r="C3" s="9" t="s">
        <v>876</v>
      </c>
      <c r="D3" s="10" t="s">
        <v>20</v>
      </c>
      <c r="E3" s="11" t="s">
        <v>51</v>
      </c>
      <c r="F3" s="10" t="s">
        <v>52</v>
      </c>
      <c r="G3" s="10" t="s">
        <v>53</v>
      </c>
      <c r="H3" s="10" t="str">
        <f>'2、主体沉降监测'!H3</f>
        <v>全费用综合单价限价（元）</v>
      </c>
      <c r="I3" s="10" t="s">
        <v>55</v>
      </c>
      <c r="J3" s="10" t="s">
        <v>56</v>
      </c>
      <c r="K3" s="10" t="s">
        <v>57</v>
      </c>
      <c r="L3" s="10" t="s">
        <v>22</v>
      </c>
      <c r="M3" s="10" t="s">
        <v>11</v>
      </c>
      <c r="N3" s="9" t="s">
        <v>12</v>
      </c>
    </row>
    <row r="4" ht="24" customHeight="1" spans="1:14">
      <c r="A4" s="12">
        <v>1</v>
      </c>
      <c r="B4" s="12" t="s">
        <v>878</v>
      </c>
      <c r="C4" s="12" t="s">
        <v>887</v>
      </c>
      <c r="D4" s="12" t="s">
        <v>427</v>
      </c>
      <c r="E4" s="13">
        <v>20</v>
      </c>
      <c r="F4" s="14">
        <v>250</v>
      </c>
      <c r="G4" s="14">
        <f t="shared" ref="G4:G12" si="0">F4*E4</f>
        <v>5000</v>
      </c>
      <c r="H4" s="14">
        <v>175</v>
      </c>
      <c r="I4" s="14"/>
      <c r="J4" s="14"/>
      <c r="K4" s="14"/>
      <c r="L4" s="14"/>
      <c r="M4" s="14"/>
      <c r="N4" s="31"/>
    </row>
    <row r="5" ht="24" customHeight="1" spans="1:14">
      <c r="A5" s="12">
        <v>2</v>
      </c>
      <c r="B5" s="12"/>
      <c r="C5" s="12" t="s">
        <v>888</v>
      </c>
      <c r="D5" s="12" t="s">
        <v>427</v>
      </c>
      <c r="E5" s="13">
        <v>20</v>
      </c>
      <c r="F5" s="14">
        <v>250</v>
      </c>
      <c r="G5" s="14">
        <f t="shared" si="0"/>
        <v>5000</v>
      </c>
      <c r="H5" s="14">
        <v>175</v>
      </c>
      <c r="I5" s="14"/>
      <c r="J5" s="14"/>
      <c r="K5" s="14"/>
      <c r="L5" s="14"/>
      <c r="M5" s="14"/>
      <c r="N5" s="31"/>
    </row>
    <row r="6" ht="24" customHeight="1" spans="1:14">
      <c r="A6" s="12">
        <v>3</v>
      </c>
      <c r="B6" s="12"/>
      <c r="C6" s="12" t="s">
        <v>889</v>
      </c>
      <c r="D6" s="12" t="s">
        <v>427</v>
      </c>
      <c r="E6" s="13">
        <v>20</v>
      </c>
      <c r="F6" s="14">
        <v>400</v>
      </c>
      <c r="G6" s="14">
        <f t="shared" si="0"/>
        <v>8000</v>
      </c>
      <c r="H6" s="14">
        <v>280</v>
      </c>
      <c r="I6" s="14"/>
      <c r="J6" s="14"/>
      <c r="K6" s="14"/>
      <c r="L6" s="14"/>
      <c r="M6" s="14"/>
      <c r="N6" s="31"/>
    </row>
    <row r="7" ht="24" customHeight="1" spans="1:14">
      <c r="A7" s="12">
        <v>4</v>
      </c>
      <c r="B7" s="12"/>
      <c r="C7" s="12" t="s">
        <v>890</v>
      </c>
      <c r="D7" s="12" t="s">
        <v>427</v>
      </c>
      <c r="E7" s="13">
        <v>20</v>
      </c>
      <c r="F7" s="14">
        <v>400</v>
      </c>
      <c r="G7" s="14">
        <f t="shared" si="0"/>
        <v>8000</v>
      </c>
      <c r="H7" s="14">
        <v>280</v>
      </c>
      <c r="I7" s="14"/>
      <c r="J7" s="14"/>
      <c r="K7" s="14"/>
      <c r="L7" s="14"/>
      <c r="M7" s="14"/>
      <c r="N7" s="31"/>
    </row>
    <row r="8" s="1" customFormat="1" ht="24" customHeight="1" spans="1:14">
      <c r="A8" s="15" t="s">
        <v>867</v>
      </c>
      <c r="B8" s="16"/>
      <c r="C8" s="16"/>
      <c r="D8" s="16"/>
      <c r="E8" s="17"/>
      <c r="F8" s="18"/>
      <c r="G8" s="19">
        <f>SUM(G4:G7)</f>
        <v>26000</v>
      </c>
      <c r="H8" s="14">
        <v>0</v>
      </c>
      <c r="I8" s="19"/>
      <c r="J8" s="19"/>
      <c r="K8" s="19"/>
      <c r="L8" s="19"/>
      <c r="M8" s="19"/>
      <c r="N8" s="32"/>
    </row>
    <row r="9" ht="24" customHeight="1" spans="1:14">
      <c r="A9" s="12">
        <v>5</v>
      </c>
      <c r="B9" s="12" t="s">
        <v>868</v>
      </c>
      <c r="C9" s="12" t="s">
        <v>887</v>
      </c>
      <c r="D9" s="20" t="s">
        <v>668</v>
      </c>
      <c r="E9" s="13">
        <f t="shared" ref="E9:E12" si="1">E4*20</f>
        <v>400</v>
      </c>
      <c r="F9" s="14">
        <v>50</v>
      </c>
      <c r="G9" s="14">
        <f t="shared" si="0"/>
        <v>20000</v>
      </c>
      <c r="H9" s="14">
        <v>35</v>
      </c>
      <c r="I9" s="14"/>
      <c r="J9" s="14"/>
      <c r="K9" s="14"/>
      <c r="L9" s="14"/>
      <c r="M9" s="14"/>
      <c r="N9" s="12"/>
    </row>
    <row r="10" ht="24" customHeight="1" spans="1:14">
      <c r="A10" s="12">
        <v>6</v>
      </c>
      <c r="B10" s="12"/>
      <c r="C10" s="12" t="s">
        <v>888</v>
      </c>
      <c r="D10" s="20" t="s">
        <v>668</v>
      </c>
      <c r="E10" s="13">
        <f t="shared" si="1"/>
        <v>400</v>
      </c>
      <c r="F10" s="14">
        <v>50</v>
      </c>
      <c r="G10" s="14">
        <f t="shared" si="0"/>
        <v>20000</v>
      </c>
      <c r="H10" s="14">
        <v>35</v>
      </c>
      <c r="I10" s="14"/>
      <c r="J10" s="14"/>
      <c r="K10" s="14"/>
      <c r="L10" s="14"/>
      <c r="M10" s="14"/>
      <c r="N10" s="12"/>
    </row>
    <row r="11" ht="24" customHeight="1" spans="1:14">
      <c r="A11" s="12">
        <v>7</v>
      </c>
      <c r="B11" s="12"/>
      <c r="C11" s="12" t="s">
        <v>889</v>
      </c>
      <c r="D11" s="20" t="s">
        <v>668</v>
      </c>
      <c r="E11" s="13">
        <f t="shared" si="1"/>
        <v>400</v>
      </c>
      <c r="F11" s="14">
        <f>141.52/1.22</f>
        <v>116</v>
      </c>
      <c r="G11" s="14">
        <f t="shared" si="0"/>
        <v>46400</v>
      </c>
      <c r="H11" s="14">
        <v>81.2</v>
      </c>
      <c r="I11" s="14"/>
      <c r="J11" s="14"/>
      <c r="K11" s="14"/>
      <c r="L11" s="14"/>
      <c r="M11" s="14"/>
      <c r="N11" s="12"/>
    </row>
    <row r="12" ht="24" customHeight="1" spans="1:14">
      <c r="A12" s="12">
        <v>8</v>
      </c>
      <c r="B12" s="12"/>
      <c r="C12" s="12" t="s">
        <v>890</v>
      </c>
      <c r="D12" s="20" t="s">
        <v>668</v>
      </c>
      <c r="E12" s="13">
        <f t="shared" si="1"/>
        <v>400</v>
      </c>
      <c r="F12" s="14">
        <v>116</v>
      </c>
      <c r="G12" s="14">
        <f t="shared" si="0"/>
        <v>46400</v>
      </c>
      <c r="H12" s="14">
        <v>81.2</v>
      </c>
      <c r="I12" s="14"/>
      <c r="J12" s="14"/>
      <c r="K12" s="14"/>
      <c r="L12" s="14"/>
      <c r="M12" s="14"/>
      <c r="N12" s="12"/>
    </row>
    <row r="13" ht="24" customHeight="1" spans="1:14">
      <c r="A13" s="15" t="s">
        <v>871</v>
      </c>
      <c r="B13" s="16"/>
      <c r="C13" s="16"/>
      <c r="D13" s="16"/>
      <c r="E13" s="17"/>
      <c r="F13" s="18"/>
      <c r="G13" s="19">
        <f>SUM(G9:G12)</f>
        <v>132800</v>
      </c>
      <c r="H13" s="21"/>
      <c r="I13" s="19"/>
      <c r="J13" s="19"/>
      <c r="K13" s="19"/>
      <c r="L13" s="19"/>
      <c r="M13" s="19"/>
      <c r="N13" s="32"/>
    </row>
    <row r="14" ht="24" customHeight="1" spans="1:14">
      <c r="A14" s="22" t="s">
        <v>891</v>
      </c>
      <c r="B14" s="23"/>
      <c r="C14" s="23"/>
      <c r="D14" s="23"/>
      <c r="E14" s="24"/>
      <c r="F14" s="25"/>
      <c r="G14" s="19" t="e">
        <f>G13*#REF!</f>
        <v>#REF!</v>
      </c>
      <c r="H14" s="21"/>
      <c r="I14" s="19"/>
      <c r="J14" s="19"/>
      <c r="K14" s="19"/>
      <c r="L14" s="19"/>
      <c r="M14" s="19"/>
      <c r="N14" s="31"/>
    </row>
    <row r="15" s="1" customFormat="1" ht="24" customHeight="1" spans="1:14">
      <c r="A15" s="26" t="s">
        <v>873</v>
      </c>
      <c r="B15" s="27"/>
      <c r="C15" s="27"/>
      <c r="D15" s="27"/>
      <c r="E15" s="28"/>
      <c r="F15" s="29"/>
      <c r="G15" s="19" t="e">
        <f>G8+G13+G14</f>
        <v>#REF!</v>
      </c>
      <c r="H15" s="30"/>
      <c r="I15" s="19">
        <f>I8+I13+I14</f>
        <v>0</v>
      </c>
      <c r="J15" s="19"/>
      <c r="K15" s="19"/>
      <c r="L15" s="19"/>
      <c r="M15" s="19"/>
      <c r="N15" s="32"/>
    </row>
  </sheetData>
  <mergeCells count="10">
    <mergeCell ref="A1:N1"/>
    <mergeCell ref="A2:N2"/>
    <mergeCell ref="A8:F8"/>
    <mergeCell ref="A13:F13"/>
    <mergeCell ref="A14:F14"/>
    <mergeCell ref="A15:F15"/>
    <mergeCell ref="B4:B7"/>
    <mergeCell ref="B9:B12"/>
    <mergeCell ref="N4:N7"/>
    <mergeCell ref="N9:N12"/>
  </mergeCells>
  <pageMargins left="0.75" right="0.75" top="1" bottom="1" header="0.5" footer="0.5"/>
  <pageSetup paperSize="9" scale="58"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tabSelected="1" view="pageBreakPreview" zoomScaleNormal="100" workbookViewId="0">
      <pane ySplit="2" topLeftCell="A12" activePane="bottomLeft" state="frozen"/>
      <selection/>
      <selection pane="bottomLeft" activeCell="N17" sqref="N17"/>
    </sheetView>
  </sheetViews>
  <sheetFormatPr defaultColWidth="9" defaultRowHeight="13.5" outlineLevelCol="7"/>
  <cols>
    <col min="1" max="1" width="6.25" style="313" customWidth="1"/>
    <col min="2" max="2" width="29.5" style="313" customWidth="1"/>
    <col min="3" max="3" width="9" style="313" customWidth="1"/>
    <col min="4" max="4" width="21.5" style="313" customWidth="1"/>
    <col min="5" max="5" width="19.75" style="313" customWidth="1"/>
    <col min="6" max="6" width="16.625" style="313" customWidth="1"/>
    <col min="7" max="7" width="17.375" style="313" customWidth="1"/>
    <col min="8" max="8" width="23.875" style="314" customWidth="1"/>
  </cols>
  <sheetData>
    <row r="1" ht="53.1" customHeight="1" spans="1:8">
      <c r="A1" s="315" t="s">
        <v>17</v>
      </c>
      <c r="B1" s="315"/>
      <c r="C1" s="315"/>
      <c r="D1" s="315"/>
      <c r="E1" s="315"/>
      <c r="F1" s="315"/>
      <c r="G1" s="315"/>
      <c r="H1" s="316"/>
    </row>
    <row r="2" s="311" customFormat="1" ht="33" customHeight="1" spans="1:8">
      <c r="A2" s="317" t="s">
        <v>18</v>
      </c>
      <c r="B2" s="317" t="s">
        <v>19</v>
      </c>
      <c r="C2" s="317" t="s">
        <v>20</v>
      </c>
      <c r="D2" s="317" t="s">
        <v>21</v>
      </c>
      <c r="E2" s="317" t="s">
        <v>22</v>
      </c>
      <c r="F2" s="317" t="s">
        <v>10</v>
      </c>
      <c r="G2" s="317" t="s">
        <v>11</v>
      </c>
      <c r="H2" s="318" t="s">
        <v>12</v>
      </c>
    </row>
    <row r="3" s="311" customFormat="1" ht="27.95" customHeight="1" spans="1:8">
      <c r="A3" s="317" t="s">
        <v>23</v>
      </c>
      <c r="B3" s="317" t="s">
        <v>13</v>
      </c>
      <c r="C3" s="317"/>
      <c r="D3" s="317"/>
      <c r="E3" s="317"/>
      <c r="F3" s="317"/>
      <c r="G3" s="317"/>
      <c r="H3" s="318"/>
    </row>
    <row r="4" s="311" customFormat="1" ht="30.95" customHeight="1" spans="1:8">
      <c r="A4" s="319">
        <v>1</v>
      </c>
      <c r="B4" s="319" t="s">
        <v>24</v>
      </c>
      <c r="C4" s="320" t="s">
        <v>25</v>
      </c>
      <c r="D4" s="320"/>
      <c r="E4" s="320"/>
      <c r="F4" s="321" t="s">
        <v>14</v>
      </c>
      <c r="G4" s="320"/>
      <c r="H4" s="320"/>
    </row>
    <row r="5" s="311" customFormat="1" ht="30" customHeight="1" spans="1:8">
      <c r="A5" s="319">
        <v>2</v>
      </c>
      <c r="B5" s="319" t="s">
        <v>26</v>
      </c>
      <c r="C5" s="320" t="s">
        <v>25</v>
      </c>
      <c r="D5" s="320"/>
      <c r="E5" s="320"/>
      <c r="F5" s="322"/>
      <c r="G5" s="320"/>
      <c r="H5" s="320"/>
    </row>
    <row r="6" s="311" customFormat="1" ht="27.95" customHeight="1" spans="1:8">
      <c r="A6" s="319">
        <v>3</v>
      </c>
      <c r="B6" s="319" t="s">
        <v>27</v>
      </c>
      <c r="C6" s="320" t="s">
        <v>25</v>
      </c>
      <c r="D6" s="320"/>
      <c r="E6" s="320"/>
      <c r="F6" s="322"/>
      <c r="G6" s="320"/>
      <c r="H6" s="320"/>
    </row>
    <row r="7" s="311" customFormat="1" ht="27.95" customHeight="1" spans="1:8">
      <c r="A7" s="319">
        <v>4</v>
      </c>
      <c r="B7" s="319" t="s">
        <v>28</v>
      </c>
      <c r="C7" s="320" t="s">
        <v>25</v>
      </c>
      <c r="D7" s="320"/>
      <c r="E7" s="320"/>
      <c r="F7" s="322"/>
      <c r="G7" s="320"/>
      <c r="H7" s="320"/>
    </row>
    <row r="8" s="311" customFormat="1" ht="27.95" customHeight="1" spans="1:8">
      <c r="A8" s="319">
        <v>5</v>
      </c>
      <c r="B8" s="319" t="s">
        <v>29</v>
      </c>
      <c r="C8" s="320" t="s">
        <v>25</v>
      </c>
      <c r="D8" s="320"/>
      <c r="E8" s="320"/>
      <c r="F8" s="322"/>
      <c r="G8" s="320"/>
      <c r="H8" s="320"/>
    </row>
    <row r="9" s="311" customFormat="1" ht="27.95" customHeight="1" spans="1:8">
      <c r="A9" s="319">
        <v>6</v>
      </c>
      <c r="B9" s="319" t="s">
        <v>30</v>
      </c>
      <c r="C9" s="320" t="s">
        <v>25</v>
      </c>
      <c r="D9" s="320"/>
      <c r="E9" s="320"/>
      <c r="F9" s="322"/>
      <c r="G9" s="320"/>
      <c r="H9" s="320"/>
    </row>
    <row r="10" s="311" customFormat="1" ht="27.95" customHeight="1" spans="1:8">
      <c r="A10" s="319">
        <v>7</v>
      </c>
      <c r="B10" s="319" t="s">
        <v>31</v>
      </c>
      <c r="C10" s="320" t="s">
        <v>25</v>
      </c>
      <c r="D10" s="320"/>
      <c r="E10" s="320"/>
      <c r="F10" s="322"/>
      <c r="G10" s="320"/>
      <c r="H10" s="320"/>
    </row>
    <row r="11" s="311" customFormat="1" ht="27.95" customHeight="1" spans="1:8">
      <c r="A11" s="319">
        <v>8</v>
      </c>
      <c r="B11" s="319" t="s">
        <v>32</v>
      </c>
      <c r="C11" s="320" t="s">
        <v>25</v>
      </c>
      <c r="D11" s="320"/>
      <c r="E11" s="320"/>
      <c r="F11" s="322"/>
      <c r="G11" s="320"/>
      <c r="H11" s="320"/>
    </row>
    <row r="12" s="311" customFormat="1" ht="27.95" customHeight="1" spans="1:8">
      <c r="A12" s="319">
        <v>9</v>
      </c>
      <c r="B12" s="319" t="s">
        <v>33</v>
      </c>
      <c r="C12" s="320" t="s">
        <v>25</v>
      </c>
      <c r="D12" s="320"/>
      <c r="E12" s="320"/>
      <c r="F12" s="322"/>
      <c r="G12" s="320"/>
      <c r="H12" s="320"/>
    </row>
    <row r="13" s="311" customFormat="1" ht="27.95" customHeight="1" spans="1:8">
      <c r="A13" s="319">
        <v>10</v>
      </c>
      <c r="B13" s="319" t="s">
        <v>34</v>
      </c>
      <c r="C13" s="320" t="s">
        <v>25</v>
      </c>
      <c r="D13" s="320"/>
      <c r="E13" s="320"/>
      <c r="F13" s="322"/>
      <c r="G13" s="320"/>
      <c r="H13" s="320"/>
    </row>
    <row r="14" s="311" customFormat="1" ht="27.95" customHeight="1" spans="1:8">
      <c r="A14" s="319">
        <v>11</v>
      </c>
      <c r="B14" s="319" t="s">
        <v>35</v>
      </c>
      <c r="C14" s="320" t="s">
        <v>25</v>
      </c>
      <c r="D14" s="320"/>
      <c r="E14" s="320"/>
      <c r="F14" s="322"/>
      <c r="G14" s="320"/>
      <c r="H14" s="320"/>
    </row>
    <row r="15" s="311" customFormat="1" ht="27.95" customHeight="1" spans="1:8">
      <c r="A15" s="319">
        <v>12</v>
      </c>
      <c r="B15" s="319" t="s">
        <v>36</v>
      </c>
      <c r="C15" s="320" t="s">
        <v>25</v>
      </c>
      <c r="D15" s="320"/>
      <c r="E15" s="320"/>
      <c r="F15" s="322"/>
      <c r="G15" s="320"/>
      <c r="H15" s="320"/>
    </row>
    <row r="16" s="311" customFormat="1" ht="27.95" customHeight="1" spans="1:8">
      <c r="A16" s="319">
        <v>13</v>
      </c>
      <c r="B16" s="319" t="s">
        <v>37</v>
      </c>
      <c r="C16" s="320" t="s">
        <v>25</v>
      </c>
      <c r="D16" s="320"/>
      <c r="E16" s="320"/>
      <c r="F16" s="322"/>
      <c r="G16" s="320"/>
      <c r="H16" s="320"/>
    </row>
    <row r="17" s="311" customFormat="1" ht="27.95" customHeight="1" spans="1:8">
      <c r="A17" s="319">
        <v>14</v>
      </c>
      <c r="B17" s="319" t="s">
        <v>38</v>
      </c>
      <c r="C17" s="320" t="s">
        <v>25</v>
      </c>
      <c r="D17" s="320"/>
      <c r="E17" s="320"/>
      <c r="F17" s="322"/>
      <c r="G17" s="320"/>
      <c r="H17" s="320"/>
    </row>
    <row r="18" s="311" customFormat="1" ht="33" customHeight="1" spans="1:8">
      <c r="A18" s="319">
        <v>15</v>
      </c>
      <c r="B18" s="319" t="s">
        <v>39</v>
      </c>
      <c r="C18" s="320" t="s">
        <v>25</v>
      </c>
      <c r="D18" s="323">
        <v>578093.76</v>
      </c>
      <c r="E18" s="320"/>
      <c r="F18" s="324"/>
      <c r="G18" s="320"/>
      <c r="H18" s="320" t="s">
        <v>40</v>
      </c>
    </row>
    <row r="19" s="311" customFormat="1" ht="33" customHeight="1" spans="1:8">
      <c r="A19" s="319">
        <v>16</v>
      </c>
      <c r="B19" s="319" t="s">
        <v>41</v>
      </c>
      <c r="C19" s="320"/>
      <c r="D19" s="320"/>
      <c r="E19" s="320"/>
      <c r="F19" s="324"/>
      <c r="G19" s="320"/>
      <c r="H19" s="320"/>
    </row>
    <row r="20" s="312" customFormat="1" ht="27.95" customHeight="1" spans="1:8">
      <c r="A20" s="325" t="s">
        <v>42</v>
      </c>
      <c r="B20" s="325" t="s">
        <v>15</v>
      </c>
      <c r="C20" s="317"/>
      <c r="D20" s="317"/>
      <c r="E20" s="317"/>
      <c r="F20" s="317"/>
      <c r="G20" s="317"/>
      <c r="H20" s="317"/>
    </row>
    <row r="21" s="311" customFormat="1" ht="27.95" customHeight="1" spans="1:8">
      <c r="A21" s="319">
        <v>1</v>
      </c>
      <c r="B21" s="319" t="s">
        <v>43</v>
      </c>
      <c r="C21" s="320" t="s">
        <v>25</v>
      </c>
      <c r="D21" s="320"/>
      <c r="E21" s="320"/>
      <c r="F21" s="321" t="s">
        <v>14</v>
      </c>
      <c r="G21" s="320"/>
      <c r="H21" s="320"/>
    </row>
    <row r="22" s="311" customFormat="1" ht="27.95" customHeight="1" spans="1:8">
      <c r="A22" s="319">
        <v>2</v>
      </c>
      <c r="B22" s="319" t="s">
        <v>44</v>
      </c>
      <c r="C22" s="320" t="s">
        <v>25</v>
      </c>
      <c r="D22" s="320"/>
      <c r="E22" s="320"/>
      <c r="F22" s="322"/>
      <c r="G22" s="320"/>
      <c r="H22" s="320"/>
    </row>
    <row r="23" s="311" customFormat="1" ht="27.95" customHeight="1" spans="1:8">
      <c r="A23" s="319">
        <v>3</v>
      </c>
      <c r="B23" s="319" t="s">
        <v>45</v>
      </c>
      <c r="C23" s="320" t="s">
        <v>25</v>
      </c>
      <c r="D23" s="320"/>
      <c r="E23" s="320"/>
      <c r="F23" s="322"/>
      <c r="G23" s="320"/>
      <c r="H23" s="320"/>
    </row>
    <row r="24" s="311" customFormat="1" ht="30.95" customHeight="1" spans="1:8">
      <c r="A24" s="319">
        <v>4</v>
      </c>
      <c r="B24" s="326" t="s">
        <v>39</v>
      </c>
      <c r="C24" s="320" t="s">
        <v>25</v>
      </c>
      <c r="D24" s="323">
        <v>245128.17</v>
      </c>
      <c r="E24" s="320"/>
      <c r="F24" s="324"/>
      <c r="G24" s="320"/>
      <c r="H24" s="320" t="s">
        <v>40</v>
      </c>
    </row>
    <row r="25" s="311" customFormat="1" ht="24.95" customHeight="1" spans="1:8">
      <c r="A25" s="319">
        <v>5</v>
      </c>
      <c r="B25" s="326" t="s">
        <v>46</v>
      </c>
      <c r="C25" s="320"/>
      <c r="D25" s="320"/>
      <c r="E25" s="320"/>
      <c r="F25" s="324"/>
      <c r="G25" s="320"/>
      <c r="H25" s="320"/>
    </row>
    <row r="26" s="311" customFormat="1" ht="27.95" customHeight="1" spans="1:8">
      <c r="A26" s="317" t="s">
        <v>47</v>
      </c>
      <c r="B26" s="317"/>
      <c r="C26" s="317"/>
      <c r="D26" s="317"/>
      <c r="E26" s="317"/>
      <c r="F26" s="317"/>
      <c r="G26" s="317"/>
      <c r="H26" s="318"/>
    </row>
  </sheetData>
  <mergeCells count="4">
    <mergeCell ref="A1:H1"/>
    <mergeCell ref="A26:C26"/>
    <mergeCell ref="F4:F18"/>
    <mergeCell ref="F21:F24"/>
  </mergeCells>
  <pageMargins left="0.75" right="0.550694444444444" top="1" bottom="1" header="0.5" footer="0.5"/>
  <pageSetup paperSize="9" scale="62"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O131"/>
  <sheetViews>
    <sheetView view="pageBreakPreview" zoomScaleNormal="100" workbookViewId="0">
      <pane ySplit="3" topLeftCell="A124" activePane="bottomLeft" state="frozen"/>
      <selection/>
      <selection pane="bottomLeft" activeCell="Q130" sqref="Q130"/>
    </sheetView>
  </sheetViews>
  <sheetFormatPr defaultColWidth="9" defaultRowHeight="13.5"/>
  <cols>
    <col min="1" max="1" width="4.125" customWidth="1"/>
    <col min="2" max="2" width="12" customWidth="1"/>
    <col min="3" max="3" width="28.5" customWidth="1"/>
    <col min="4" max="4" width="29.125" customWidth="1"/>
    <col min="5" max="5" width="4.125" customWidth="1"/>
    <col min="6" max="6" width="5.75" customWidth="1"/>
    <col min="7" max="7" width="12.625" hidden="1" customWidth="1"/>
    <col min="8" max="8" width="14.5" hidden="1" customWidth="1"/>
    <col min="9" max="9" width="11.875" customWidth="1"/>
    <col min="10" max="13" width="12.375" customWidth="1"/>
    <col min="14" max="14" width="14.125" customWidth="1"/>
    <col min="15" max="15" width="13.375" customWidth="1"/>
  </cols>
  <sheetData>
    <row r="1" ht="27.95" customHeight="1" spans="1:15">
      <c r="A1" s="66" t="s">
        <v>48</v>
      </c>
      <c r="B1" s="66"/>
      <c r="C1" s="66"/>
      <c r="D1" s="66"/>
      <c r="E1" s="66"/>
      <c r="F1" s="66"/>
      <c r="O1" s="66"/>
    </row>
    <row r="2" ht="32.1" customHeight="1" spans="1:15">
      <c r="A2" s="67" t="s">
        <v>4</v>
      </c>
      <c r="B2" s="68"/>
      <c r="C2" s="68"/>
      <c r="D2" s="68"/>
      <c r="E2" s="68"/>
      <c r="F2" s="68"/>
      <c r="G2" s="68"/>
      <c r="H2" s="68"/>
      <c r="I2" s="68"/>
      <c r="J2" s="68"/>
      <c r="K2" s="68"/>
      <c r="L2" s="68"/>
      <c r="M2" s="68"/>
      <c r="N2" s="68"/>
      <c r="O2" s="68"/>
    </row>
    <row r="3" s="226" customFormat="1" ht="38.1" customHeight="1" spans="1:15">
      <c r="A3" s="40" t="s">
        <v>18</v>
      </c>
      <c r="B3" s="40" t="s">
        <v>19</v>
      </c>
      <c r="C3" s="40" t="s">
        <v>49</v>
      </c>
      <c r="D3" s="40" t="s">
        <v>50</v>
      </c>
      <c r="E3" s="10" t="s">
        <v>20</v>
      </c>
      <c r="F3" s="10" t="s">
        <v>51</v>
      </c>
      <c r="G3" s="10" t="s">
        <v>52</v>
      </c>
      <c r="H3" s="10" t="s">
        <v>53</v>
      </c>
      <c r="I3" s="10" t="s">
        <v>54</v>
      </c>
      <c r="J3" s="299" t="s">
        <v>55</v>
      </c>
      <c r="K3" s="299" t="s">
        <v>56</v>
      </c>
      <c r="L3" s="299" t="s">
        <v>57</v>
      </c>
      <c r="M3" s="299" t="s">
        <v>22</v>
      </c>
      <c r="N3" s="42" t="s">
        <v>58</v>
      </c>
      <c r="O3" s="40" t="s">
        <v>12</v>
      </c>
    </row>
    <row r="4" s="63" customFormat="1" ht="48" spans="1:15">
      <c r="A4" s="53">
        <v>1</v>
      </c>
      <c r="B4" s="166" t="s">
        <v>59</v>
      </c>
      <c r="C4" s="159" t="s">
        <v>60</v>
      </c>
      <c r="D4" s="166" t="s">
        <v>61</v>
      </c>
      <c r="E4" s="53" t="s">
        <v>62</v>
      </c>
      <c r="F4" s="56">
        <v>24</v>
      </c>
      <c r="G4" s="288">
        <v>1200</v>
      </c>
      <c r="H4" s="289">
        <f>G4*F4</f>
        <v>28800</v>
      </c>
      <c r="I4" s="289">
        <v>840</v>
      </c>
      <c r="J4" s="289"/>
      <c r="K4" s="289"/>
      <c r="L4" s="289"/>
      <c r="M4" s="289"/>
      <c r="N4" s="288"/>
      <c r="O4" s="166"/>
    </row>
    <row r="5" s="63" customFormat="1" ht="36" spans="1:15">
      <c r="A5" s="53">
        <v>2</v>
      </c>
      <c r="B5" s="166" t="s">
        <v>63</v>
      </c>
      <c r="C5" s="159" t="s">
        <v>64</v>
      </c>
      <c r="D5" s="166" t="s">
        <v>65</v>
      </c>
      <c r="E5" s="53" t="s">
        <v>62</v>
      </c>
      <c r="F5" s="56">
        <v>17</v>
      </c>
      <c r="G5" s="288">
        <v>1200</v>
      </c>
      <c r="H5" s="289">
        <f t="shared" ref="H5:H36" si="0">G5*F5</f>
        <v>20400</v>
      </c>
      <c r="I5" s="289">
        <v>840</v>
      </c>
      <c r="J5" s="289"/>
      <c r="K5" s="289"/>
      <c r="L5" s="289"/>
      <c r="M5" s="289"/>
      <c r="N5" s="288"/>
      <c r="O5" s="53"/>
    </row>
    <row r="6" s="63" customFormat="1" ht="36" spans="1:15">
      <c r="A6" s="53">
        <v>3</v>
      </c>
      <c r="B6" s="166" t="s">
        <v>66</v>
      </c>
      <c r="C6" s="159" t="s">
        <v>67</v>
      </c>
      <c r="D6" s="166" t="s">
        <v>65</v>
      </c>
      <c r="E6" s="53" t="s">
        <v>62</v>
      </c>
      <c r="F6" s="56">
        <v>14</v>
      </c>
      <c r="G6" s="288">
        <v>1300</v>
      </c>
      <c r="H6" s="289">
        <f t="shared" si="0"/>
        <v>18200</v>
      </c>
      <c r="I6" s="289">
        <v>910</v>
      </c>
      <c r="J6" s="289"/>
      <c r="K6" s="289"/>
      <c r="L6" s="289"/>
      <c r="M6" s="289"/>
      <c r="N6" s="288"/>
      <c r="O6" s="53"/>
    </row>
    <row r="7" s="63" customFormat="1" ht="24" spans="1:15">
      <c r="A7" s="53">
        <v>4</v>
      </c>
      <c r="B7" s="166" t="s">
        <v>68</v>
      </c>
      <c r="C7" s="159" t="s">
        <v>69</v>
      </c>
      <c r="D7" s="290" t="s">
        <v>70</v>
      </c>
      <c r="E7" s="53" t="s">
        <v>62</v>
      </c>
      <c r="F7" s="56">
        <v>14</v>
      </c>
      <c r="G7" s="288">
        <v>1500</v>
      </c>
      <c r="H7" s="289">
        <f t="shared" si="0"/>
        <v>21000</v>
      </c>
      <c r="I7" s="289">
        <v>1050</v>
      </c>
      <c r="J7" s="289"/>
      <c r="K7" s="289"/>
      <c r="L7" s="289"/>
      <c r="M7" s="289"/>
      <c r="N7" s="288"/>
      <c r="O7" s="53"/>
    </row>
    <row r="8" s="63" customFormat="1" ht="24" spans="1:15">
      <c r="A8" s="53">
        <v>5</v>
      </c>
      <c r="B8" s="166" t="s">
        <v>71</v>
      </c>
      <c r="C8" s="159" t="s">
        <v>72</v>
      </c>
      <c r="D8" s="290" t="s">
        <v>73</v>
      </c>
      <c r="E8" s="53" t="s">
        <v>62</v>
      </c>
      <c r="F8" s="56">
        <v>2</v>
      </c>
      <c r="G8" s="288">
        <v>2300</v>
      </c>
      <c r="H8" s="289">
        <f t="shared" si="0"/>
        <v>4600</v>
      </c>
      <c r="I8" s="289">
        <v>1610</v>
      </c>
      <c r="J8" s="289"/>
      <c r="K8" s="289"/>
      <c r="L8" s="289"/>
      <c r="M8" s="289"/>
      <c r="N8" s="288"/>
      <c r="O8" s="53"/>
    </row>
    <row r="9" s="63" customFormat="1" ht="36" spans="1:15">
      <c r="A9" s="53">
        <v>6</v>
      </c>
      <c r="B9" s="166" t="s">
        <v>74</v>
      </c>
      <c r="C9" s="159" t="s">
        <v>75</v>
      </c>
      <c r="D9" s="290" t="s">
        <v>76</v>
      </c>
      <c r="E9" s="53" t="s">
        <v>62</v>
      </c>
      <c r="F9" s="56">
        <v>12</v>
      </c>
      <c r="G9" s="288">
        <v>3400</v>
      </c>
      <c r="H9" s="289">
        <f t="shared" si="0"/>
        <v>40800</v>
      </c>
      <c r="I9" s="289">
        <v>2380</v>
      </c>
      <c r="J9" s="289"/>
      <c r="K9" s="289"/>
      <c r="L9" s="289"/>
      <c r="M9" s="289"/>
      <c r="N9" s="288"/>
      <c r="O9" s="53"/>
    </row>
    <row r="10" s="63" customFormat="1" ht="21.95" customHeight="1" spans="1:15">
      <c r="A10" s="53">
        <v>7</v>
      </c>
      <c r="B10" s="166" t="s">
        <v>77</v>
      </c>
      <c r="C10" s="159" t="s">
        <v>78</v>
      </c>
      <c r="D10" s="291" t="s">
        <v>79</v>
      </c>
      <c r="E10" s="53" t="s">
        <v>62</v>
      </c>
      <c r="F10" s="56">
        <v>20</v>
      </c>
      <c r="G10" s="288">
        <v>1000</v>
      </c>
      <c r="H10" s="289">
        <f t="shared" si="0"/>
        <v>20000</v>
      </c>
      <c r="I10" s="289">
        <v>700</v>
      </c>
      <c r="J10" s="289"/>
      <c r="K10" s="289"/>
      <c r="L10" s="289"/>
      <c r="M10" s="289"/>
      <c r="N10" s="288"/>
      <c r="O10" s="53"/>
    </row>
    <row r="11" s="63" customFormat="1" ht="132" spans="1:15">
      <c r="A11" s="53">
        <v>8</v>
      </c>
      <c r="B11" s="166"/>
      <c r="C11" s="159" t="s">
        <v>80</v>
      </c>
      <c r="D11" s="166" t="s">
        <v>81</v>
      </c>
      <c r="E11" s="53" t="s">
        <v>62</v>
      </c>
      <c r="F11" s="56">
        <v>1000</v>
      </c>
      <c r="G11" s="288">
        <v>60</v>
      </c>
      <c r="H11" s="289">
        <f t="shared" si="0"/>
        <v>60000</v>
      </c>
      <c r="I11" s="289">
        <v>42</v>
      </c>
      <c r="J11" s="289"/>
      <c r="K11" s="289"/>
      <c r="L11" s="289"/>
      <c r="M11" s="289"/>
      <c r="N11" s="288"/>
      <c r="O11" s="53"/>
    </row>
    <row r="12" s="63" customFormat="1" ht="24" spans="1:15">
      <c r="A12" s="53">
        <v>9</v>
      </c>
      <c r="B12" s="166"/>
      <c r="C12" s="159" t="s">
        <v>82</v>
      </c>
      <c r="D12" s="166" t="s">
        <v>83</v>
      </c>
      <c r="E12" s="53" t="s">
        <v>62</v>
      </c>
      <c r="F12" s="56">
        <v>60</v>
      </c>
      <c r="G12" s="288">
        <v>300</v>
      </c>
      <c r="H12" s="289">
        <f t="shared" si="0"/>
        <v>18000</v>
      </c>
      <c r="I12" s="289">
        <v>210</v>
      </c>
      <c r="J12" s="289"/>
      <c r="K12" s="289"/>
      <c r="L12" s="289"/>
      <c r="M12" s="289"/>
      <c r="N12" s="288"/>
      <c r="O12" s="53"/>
    </row>
    <row r="13" s="63" customFormat="1" ht="48" spans="1:15">
      <c r="A13" s="53">
        <v>10</v>
      </c>
      <c r="B13" s="166"/>
      <c r="C13" s="159" t="s">
        <v>84</v>
      </c>
      <c r="D13" s="292" t="s">
        <v>85</v>
      </c>
      <c r="E13" s="53" t="s">
        <v>62</v>
      </c>
      <c r="F13" s="56">
        <v>160</v>
      </c>
      <c r="G13" s="288">
        <v>500</v>
      </c>
      <c r="H13" s="289">
        <f t="shared" si="0"/>
        <v>80000</v>
      </c>
      <c r="I13" s="289">
        <v>350</v>
      </c>
      <c r="J13" s="289"/>
      <c r="K13" s="289"/>
      <c r="L13" s="289"/>
      <c r="M13" s="289"/>
      <c r="N13" s="288"/>
      <c r="O13" s="53"/>
    </row>
    <row r="14" s="63" customFormat="1" ht="20.1" customHeight="1" spans="1:15">
      <c r="A14" s="53">
        <v>11</v>
      </c>
      <c r="B14" s="166"/>
      <c r="C14" s="159" t="s">
        <v>86</v>
      </c>
      <c r="D14" s="166" t="s">
        <v>87</v>
      </c>
      <c r="E14" s="53" t="s">
        <v>62</v>
      </c>
      <c r="F14" s="56">
        <v>8</v>
      </c>
      <c r="G14" s="288">
        <v>1000</v>
      </c>
      <c r="H14" s="289">
        <f t="shared" si="0"/>
        <v>8000</v>
      </c>
      <c r="I14" s="289">
        <v>700</v>
      </c>
      <c r="J14" s="289"/>
      <c r="K14" s="289"/>
      <c r="L14" s="289"/>
      <c r="M14" s="289"/>
      <c r="N14" s="288"/>
      <c r="O14" s="53"/>
    </row>
    <row r="15" s="63" customFormat="1" ht="20.1" customHeight="1" spans="1:15">
      <c r="A15" s="53">
        <v>12</v>
      </c>
      <c r="B15" s="166"/>
      <c r="C15" s="159" t="s">
        <v>88</v>
      </c>
      <c r="D15" s="53" t="s">
        <v>89</v>
      </c>
      <c r="E15" s="53" t="s">
        <v>62</v>
      </c>
      <c r="F15" s="56">
        <v>10</v>
      </c>
      <c r="G15" s="288">
        <v>3000</v>
      </c>
      <c r="H15" s="289">
        <f t="shared" si="0"/>
        <v>30000</v>
      </c>
      <c r="I15" s="289">
        <v>2100</v>
      </c>
      <c r="J15" s="289"/>
      <c r="K15" s="289"/>
      <c r="L15" s="289"/>
      <c r="M15" s="289"/>
      <c r="N15" s="288"/>
      <c r="O15" s="166"/>
    </row>
    <row r="16" s="63" customFormat="1" ht="24" spans="1:15">
      <c r="A16" s="127">
        <v>13</v>
      </c>
      <c r="B16" s="166" t="s">
        <v>90</v>
      </c>
      <c r="C16" s="293" t="s">
        <v>91</v>
      </c>
      <c r="D16" s="175" t="s">
        <v>92</v>
      </c>
      <c r="E16" s="127" t="s">
        <v>62</v>
      </c>
      <c r="F16" s="128">
        <v>10</v>
      </c>
      <c r="G16" s="288">
        <v>1800</v>
      </c>
      <c r="H16" s="289">
        <f t="shared" si="0"/>
        <v>18000</v>
      </c>
      <c r="I16" s="289">
        <v>1260</v>
      </c>
      <c r="J16" s="289"/>
      <c r="K16" s="289"/>
      <c r="L16" s="289"/>
      <c r="M16" s="289"/>
      <c r="N16" s="288"/>
      <c r="O16" s="127"/>
    </row>
    <row r="17" s="63" customFormat="1" ht="48" spans="1:15">
      <c r="A17" s="53">
        <v>14</v>
      </c>
      <c r="B17" s="166" t="s">
        <v>93</v>
      </c>
      <c r="C17" s="159" t="s">
        <v>80</v>
      </c>
      <c r="D17" s="166" t="s">
        <v>94</v>
      </c>
      <c r="E17" s="53" t="s">
        <v>62</v>
      </c>
      <c r="F17" s="56">
        <v>170</v>
      </c>
      <c r="G17" s="288">
        <v>50</v>
      </c>
      <c r="H17" s="289">
        <f t="shared" si="0"/>
        <v>8500</v>
      </c>
      <c r="I17" s="289">
        <v>35</v>
      </c>
      <c r="J17" s="289"/>
      <c r="K17" s="289"/>
      <c r="L17" s="289"/>
      <c r="M17" s="289"/>
      <c r="N17" s="288"/>
      <c r="O17" s="53"/>
    </row>
    <row r="18" s="63" customFormat="1" ht="24" spans="1:15">
      <c r="A18" s="53">
        <v>15</v>
      </c>
      <c r="B18" s="53" t="s">
        <v>95</v>
      </c>
      <c r="C18" s="269" t="s">
        <v>96</v>
      </c>
      <c r="D18" s="166" t="s">
        <v>97</v>
      </c>
      <c r="E18" s="53" t="s">
        <v>62</v>
      </c>
      <c r="F18" s="56">
        <v>360</v>
      </c>
      <c r="G18" s="288">
        <v>330</v>
      </c>
      <c r="H18" s="289">
        <f t="shared" si="0"/>
        <v>118800</v>
      </c>
      <c r="I18" s="289">
        <v>231</v>
      </c>
      <c r="J18" s="289"/>
      <c r="K18" s="289"/>
      <c r="L18" s="289"/>
      <c r="M18" s="289"/>
      <c r="N18" s="288"/>
      <c r="O18" s="191"/>
    </row>
    <row r="19" s="63" customFormat="1" ht="24" spans="1:15">
      <c r="A19" s="53">
        <v>16</v>
      </c>
      <c r="B19" s="53" t="s">
        <v>98</v>
      </c>
      <c r="C19" s="269" t="s">
        <v>99</v>
      </c>
      <c r="D19" s="166" t="s">
        <v>97</v>
      </c>
      <c r="E19" s="53" t="s">
        <v>62</v>
      </c>
      <c r="F19" s="56">
        <v>60</v>
      </c>
      <c r="G19" s="288">
        <v>200</v>
      </c>
      <c r="H19" s="289">
        <f t="shared" si="0"/>
        <v>12000</v>
      </c>
      <c r="I19" s="289">
        <v>140</v>
      </c>
      <c r="J19" s="289"/>
      <c r="K19" s="289"/>
      <c r="L19" s="289"/>
      <c r="M19" s="289"/>
      <c r="N19" s="288"/>
      <c r="O19" s="191"/>
    </row>
    <row r="20" s="63" customFormat="1" ht="60" spans="1:15">
      <c r="A20" s="53">
        <v>17</v>
      </c>
      <c r="B20" s="166" t="s">
        <v>100</v>
      </c>
      <c r="C20" s="159" t="s">
        <v>101</v>
      </c>
      <c r="D20" s="166" t="s">
        <v>102</v>
      </c>
      <c r="E20" s="53" t="s">
        <v>62</v>
      </c>
      <c r="F20" s="56">
        <v>175</v>
      </c>
      <c r="G20" s="288">
        <v>150</v>
      </c>
      <c r="H20" s="289">
        <f t="shared" si="0"/>
        <v>26250</v>
      </c>
      <c r="I20" s="289">
        <v>105</v>
      </c>
      <c r="J20" s="289"/>
      <c r="K20" s="289"/>
      <c r="L20" s="289"/>
      <c r="M20" s="289"/>
      <c r="N20" s="288"/>
      <c r="O20" s="53"/>
    </row>
    <row r="21" s="63" customFormat="1" ht="36" spans="1:15">
      <c r="A21" s="53">
        <v>18</v>
      </c>
      <c r="B21" s="166" t="s">
        <v>103</v>
      </c>
      <c r="C21" s="159" t="s">
        <v>104</v>
      </c>
      <c r="D21" s="166" t="s">
        <v>105</v>
      </c>
      <c r="E21" s="53" t="s">
        <v>62</v>
      </c>
      <c r="F21" s="56">
        <v>170</v>
      </c>
      <c r="G21" s="166">
        <v>100</v>
      </c>
      <c r="H21" s="289">
        <f t="shared" si="0"/>
        <v>17000</v>
      </c>
      <c r="I21" s="289">
        <v>70</v>
      </c>
      <c r="J21" s="289"/>
      <c r="K21" s="289"/>
      <c r="L21" s="289"/>
      <c r="M21" s="289"/>
      <c r="N21" s="166"/>
      <c r="O21" s="53"/>
    </row>
    <row r="22" s="63" customFormat="1" ht="12" spans="1:15">
      <c r="A22" s="53">
        <v>19</v>
      </c>
      <c r="B22" s="166"/>
      <c r="C22" s="159" t="s">
        <v>106</v>
      </c>
      <c r="D22" s="166" t="s">
        <v>107</v>
      </c>
      <c r="E22" s="53" t="s">
        <v>62</v>
      </c>
      <c r="F22" s="56">
        <v>36</v>
      </c>
      <c r="G22" s="166">
        <v>500</v>
      </c>
      <c r="H22" s="289">
        <f t="shared" si="0"/>
        <v>18000</v>
      </c>
      <c r="I22" s="289">
        <v>350</v>
      </c>
      <c r="J22" s="289"/>
      <c r="K22" s="289"/>
      <c r="L22" s="289"/>
      <c r="M22" s="289"/>
      <c r="N22" s="166"/>
      <c r="O22" s="53"/>
    </row>
    <row r="23" s="63" customFormat="1" ht="24" spans="1:15">
      <c r="A23" s="53">
        <v>20</v>
      </c>
      <c r="B23" s="53" t="s">
        <v>108</v>
      </c>
      <c r="C23" s="159" t="s">
        <v>109</v>
      </c>
      <c r="D23" s="166" t="s">
        <v>110</v>
      </c>
      <c r="E23" s="53" t="s">
        <v>62</v>
      </c>
      <c r="F23" s="56">
        <v>35</v>
      </c>
      <c r="G23" s="166">
        <v>150</v>
      </c>
      <c r="H23" s="289">
        <f t="shared" si="0"/>
        <v>5250</v>
      </c>
      <c r="I23" s="289">
        <v>105</v>
      </c>
      <c r="J23" s="289"/>
      <c r="K23" s="289"/>
      <c r="L23" s="289"/>
      <c r="M23" s="289"/>
      <c r="N23" s="166"/>
      <c r="O23" s="166"/>
    </row>
    <row r="24" s="63" customFormat="1" ht="12" spans="1:15">
      <c r="A24" s="53">
        <v>21</v>
      </c>
      <c r="B24" s="53" t="s">
        <v>108</v>
      </c>
      <c r="C24" s="269" t="s">
        <v>111</v>
      </c>
      <c r="D24" s="53" t="s">
        <v>112</v>
      </c>
      <c r="E24" s="53" t="s">
        <v>62</v>
      </c>
      <c r="F24" s="56">
        <v>30</v>
      </c>
      <c r="G24" s="166">
        <v>300</v>
      </c>
      <c r="H24" s="289">
        <f t="shared" si="0"/>
        <v>9000</v>
      </c>
      <c r="I24" s="289">
        <v>210</v>
      </c>
      <c r="J24" s="289"/>
      <c r="K24" s="289"/>
      <c r="L24" s="289"/>
      <c r="M24" s="289"/>
      <c r="N24" s="166"/>
      <c r="O24" s="191"/>
    </row>
    <row r="25" s="63" customFormat="1" ht="24" spans="1:15">
      <c r="A25" s="53">
        <v>22</v>
      </c>
      <c r="B25" s="166" t="s">
        <v>113</v>
      </c>
      <c r="C25" s="159" t="s">
        <v>109</v>
      </c>
      <c r="D25" s="166" t="s">
        <v>92</v>
      </c>
      <c r="E25" s="53" t="s">
        <v>62</v>
      </c>
      <c r="F25" s="56">
        <v>25</v>
      </c>
      <c r="G25" s="166">
        <v>500</v>
      </c>
      <c r="H25" s="289">
        <f t="shared" si="0"/>
        <v>12500</v>
      </c>
      <c r="I25" s="289">
        <v>350</v>
      </c>
      <c r="J25" s="289"/>
      <c r="K25" s="289"/>
      <c r="L25" s="289"/>
      <c r="M25" s="289"/>
      <c r="N25" s="166"/>
      <c r="O25" s="166"/>
    </row>
    <row r="26" s="63" customFormat="1" ht="36" spans="1:15">
      <c r="A26" s="53">
        <v>23</v>
      </c>
      <c r="B26" s="166" t="s">
        <v>114</v>
      </c>
      <c r="C26" s="159" t="s">
        <v>115</v>
      </c>
      <c r="D26" s="166" t="s">
        <v>116</v>
      </c>
      <c r="E26" s="53" t="s">
        <v>62</v>
      </c>
      <c r="F26" s="56">
        <v>5</v>
      </c>
      <c r="G26" s="288">
        <v>600</v>
      </c>
      <c r="H26" s="289">
        <f t="shared" si="0"/>
        <v>3000</v>
      </c>
      <c r="I26" s="289">
        <v>420</v>
      </c>
      <c r="J26" s="289"/>
      <c r="K26" s="289"/>
      <c r="L26" s="289"/>
      <c r="M26" s="289"/>
      <c r="N26" s="288"/>
      <c r="O26" s="166"/>
    </row>
    <row r="27" s="63" customFormat="1" ht="24" spans="1:15">
      <c r="A27" s="53">
        <v>24</v>
      </c>
      <c r="B27" s="166" t="s">
        <v>117</v>
      </c>
      <c r="C27" s="159" t="s">
        <v>118</v>
      </c>
      <c r="D27" s="166" t="s">
        <v>119</v>
      </c>
      <c r="E27" s="53" t="s">
        <v>62</v>
      </c>
      <c r="F27" s="56">
        <v>12</v>
      </c>
      <c r="G27" s="288">
        <v>800</v>
      </c>
      <c r="H27" s="289">
        <f t="shared" si="0"/>
        <v>9600</v>
      </c>
      <c r="I27" s="289">
        <v>560</v>
      </c>
      <c r="J27" s="289"/>
      <c r="K27" s="289"/>
      <c r="L27" s="289"/>
      <c r="M27" s="289"/>
      <c r="N27" s="288"/>
      <c r="O27" s="166"/>
    </row>
    <row r="28" s="63" customFormat="1" ht="24" spans="1:15">
      <c r="A28" s="53">
        <v>25</v>
      </c>
      <c r="B28" s="166" t="s">
        <v>120</v>
      </c>
      <c r="C28" s="159" t="s">
        <v>121</v>
      </c>
      <c r="D28" s="166" t="s">
        <v>122</v>
      </c>
      <c r="E28" s="53" t="s">
        <v>62</v>
      </c>
      <c r="F28" s="56">
        <v>30</v>
      </c>
      <c r="G28" s="288">
        <v>800</v>
      </c>
      <c r="H28" s="289">
        <f t="shared" si="0"/>
        <v>24000</v>
      </c>
      <c r="I28" s="289">
        <v>560</v>
      </c>
      <c r="J28" s="289"/>
      <c r="K28" s="289"/>
      <c r="L28" s="289"/>
      <c r="M28" s="289"/>
      <c r="N28" s="288"/>
      <c r="O28" s="166"/>
    </row>
    <row r="29" s="63" customFormat="1" ht="24" spans="1:15">
      <c r="A29" s="53">
        <v>26</v>
      </c>
      <c r="B29" s="166" t="s">
        <v>123</v>
      </c>
      <c r="C29" s="159" t="s">
        <v>124</v>
      </c>
      <c r="D29" s="166" t="s">
        <v>125</v>
      </c>
      <c r="E29" s="53" t="s">
        <v>62</v>
      </c>
      <c r="F29" s="56">
        <v>30</v>
      </c>
      <c r="G29" s="288">
        <v>500</v>
      </c>
      <c r="H29" s="289">
        <f t="shared" si="0"/>
        <v>15000</v>
      </c>
      <c r="I29" s="289">
        <v>350</v>
      </c>
      <c r="J29" s="289"/>
      <c r="K29" s="289"/>
      <c r="L29" s="289"/>
      <c r="M29" s="289"/>
      <c r="N29" s="288"/>
      <c r="O29" s="53"/>
    </row>
    <row r="30" s="63" customFormat="1" ht="24" spans="1:15">
      <c r="A30" s="53">
        <v>27</v>
      </c>
      <c r="B30" s="166" t="s">
        <v>126</v>
      </c>
      <c r="C30" s="159" t="s">
        <v>127</v>
      </c>
      <c r="D30" s="166" t="s">
        <v>128</v>
      </c>
      <c r="E30" s="53" t="s">
        <v>62</v>
      </c>
      <c r="F30" s="56">
        <v>17</v>
      </c>
      <c r="G30" s="288">
        <v>2200</v>
      </c>
      <c r="H30" s="289">
        <f t="shared" si="0"/>
        <v>37400</v>
      </c>
      <c r="I30" s="289">
        <v>1540</v>
      </c>
      <c r="J30" s="289"/>
      <c r="K30" s="289"/>
      <c r="L30" s="289"/>
      <c r="M30" s="289"/>
      <c r="N30" s="288"/>
      <c r="O30" s="159"/>
    </row>
    <row r="31" s="63" customFormat="1" ht="36" spans="1:15">
      <c r="A31" s="53">
        <v>28</v>
      </c>
      <c r="B31" s="166" t="s">
        <v>129</v>
      </c>
      <c r="C31" s="159" t="s">
        <v>130</v>
      </c>
      <c r="D31" s="166" t="s">
        <v>128</v>
      </c>
      <c r="E31" s="53" t="s">
        <v>62</v>
      </c>
      <c r="F31" s="56">
        <v>17</v>
      </c>
      <c r="G31" s="288">
        <v>2000</v>
      </c>
      <c r="H31" s="289">
        <f t="shared" si="0"/>
        <v>34000</v>
      </c>
      <c r="I31" s="289">
        <v>1400</v>
      </c>
      <c r="J31" s="289"/>
      <c r="K31" s="289"/>
      <c r="L31" s="289"/>
      <c r="M31" s="289"/>
      <c r="N31" s="288"/>
      <c r="O31" s="191"/>
    </row>
    <row r="32" s="63" customFormat="1" ht="24" spans="1:15">
      <c r="A32" s="53">
        <v>29</v>
      </c>
      <c r="B32" s="166" t="s">
        <v>131</v>
      </c>
      <c r="C32" s="159" t="s">
        <v>132</v>
      </c>
      <c r="D32" s="166" t="s">
        <v>133</v>
      </c>
      <c r="E32" s="53" t="s">
        <v>62</v>
      </c>
      <c r="F32" s="56">
        <v>30</v>
      </c>
      <c r="G32" s="288">
        <v>1700</v>
      </c>
      <c r="H32" s="289">
        <f t="shared" si="0"/>
        <v>51000</v>
      </c>
      <c r="I32" s="289">
        <v>1190</v>
      </c>
      <c r="J32" s="289"/>
      <c r="K32" s="289"/>
      <c r="L32" s="289"/>
      <c r="M32" s="289"/>
      <c r="N32" s="288"/>
      <c r="O32" s="53"/>
    </row>
    <row r="33" s="63" customFormat="1" ht="24" spans="1:15">
      <c r="A33" s="53">
        <v>30</v>
      </c>
      <c r="B33" s="53" t="s">
        <v>134</v>
      </c>
      <c r="C33" s="269" t="s">
        <v>135</v>
      </c>
      <c r="D33" s="53" t="s">
        <v>136</v>
      </c>
      <c r="E33" s="53" t="s">
        <v>62</v>
      </c>
      <c r="F33" s="56">
        <v>8</v>
      </c>
      <c r="G33" s="288">
        <v>1800</v>
      </c>
      <c r="H33" s="289">
        <f t="shared" si="0"/>
        <v>14400</v>
      </c>
      <c r="I33" s="289">
        <v>1260</v>
      </c>
      <c r="J33" s="289"/>
      <c r="K33" s="289"/>
      <c r="L33" s="289"/>
      <c r="M33" s="289"/>
      <c r="N33" s="288"/>
      <c r="O33" s="166"/>
    </row>
    <row r="34" s="63" customFormat="1" ht="24" spans="1:15">
      <c r="A34" s="53">
        <v>31</v>
      </c>
      <c r="B34" s="53" t="s">
        <v>137</v>
      </c>
      <c r="C34" s="269" t="s">
        <v>138</v>
      </c>
      <c r="D34" s="53" t="s">
        <v>136</v>
      </c>
      <c r="E34" s="53" t="s">
        <v>62</v>
      </c>
      <c r="F34" s="56">
        <v>8</v>
      </c>
      <c r="G34" s="288">
        <v>2300</v>
      </c>
      <c r="H34" s="289">
        <f t="shared" si="0"/>
        <v>18400</v>
      </c>
      <c r="I34" s="289">
        <v>1610</v>
      </c>
      <c r="J34" s="289"/>
      <c r="K34" s="289"/>
      <c r="L34" s="289"/>
      <c r="M34" s="289"/>
      <c r="N34" s="288"/>
      <c r="O34" s="166"/>
    </row>
    <row r="35" s="63" customFormat="1" ht="24" spans="1:15">
      <c r="A35" s="53">
        <v>32</v>
      </c>
      <c r="B35" s="53" t="s">
        <v>139</v>
      </c>
      <c r="C35" s="269" t="s">
        <v>140</v>
      </c>
      <c r="D35" s="53" t="s">
        <v>136</v>
      </c>
      <c r="E35" s="53" t="s">
        <v>62</v>
      </c>
      <c r="F35" s="56">
        <v>8</v>
      </c>
      <c r="G35" s="288">
        <v>2800</v>
      </c>
      <c r="H35" s="289">
        <f t="shared" si="0"/>
        <v>22400</v>
      </c>
      <c r="I35" s="289">
        <v>1960</v>
      </c>
      <c r="J35" s="289"/>
      <c r="K35" s="289"/>
      <c r="L35" s="289"/>
      <c r="M35" s="289"/>
      <c r="N35" s="288"/>
      <c r="O35" s="166"/>
    </row>
    <row r="36" s="63" customFormat="1" ht="24" spans="1:15">
      <c r="A36" s="53">
        <v>33</v>
      </c>
      <c r="B36" s="53" t="s">
        <v>141</v>
      </c>
      <c r="C36" s="269" t="s">
        <v>142</v>
      </c>
      <c r="D36" s="166" t="s">
        <v>143</v>
      </c>
      <c r="E36" s="294" t="s">
        <v>62</v>
      </c>
      <c r="F36" s="56">
        <v>32</v>
      </c>
      <c r="G36" s="288">
        <v>500</v>
      </c>
      <c r="H36" s="289">
        <f t="shared" si="0"/>
        <v>16000</v>
      </c>
      <c r="I36" s="289">
        <v>350</v>
      </c>
      <c r="J36" s="289"/>
      <c r="K36" s="289"/>
      <c r="L36" s="289"/>
      <c r="M36" s="289"/>
      <c r="N36" s="288"/>
      <c r="O36" s="166"/>
    </row>
    <row r="37" s="63" customFormat="1" ht="36" spans="1:15">
      <c r="A37" s="53">
        <v>34</v>
      </c>
      <c r="B37" s="295" t="s">
        <v>144</v>
      </c>
      <c r="C37" s="159" t="s">
        <v>145</v>
      </c>
      <c r="D37" s="166" t="s">
        <v>146</v>
      </c>
      <c r="E37" s="294" t="s">
        <v>62</v>
      </c>
      <c r="F37" s="56">
        <v>25</v>
      </c>
      <c r="G37" s="288">
        <v>1000</v>
      </c>
      <c r="H37" s="289">
        <f t="shared" ref="H37:H68" si="1">G37*F37</f>
        <v>25000</v>
      </c>
      <c r="I37" s="289">
        <v>700</v>
      </c>
      <c r="J37" s="289"/>
      <c r="K37" s="289"/>
      <c r="L37" s="289"/>
      <c r="M37" s="289"/>
      <c r="N37" s="288"/>
      <c r="O37" s="166"/>
    </row>
    <row r="38" s="63" customFormat="1" ht="24" spans="1:15">
      <c r="A38" s="53">
        <v>35</v>
      </c>
      <c r="B38" s="53" t="s">
        <v>147</v>
      </c>
      <c r="C38" s="269" t="s">
        <v>148</v>
      </c>
      <c r="D38" s="53" t="s">
        <v>112</v>
      </c>
      <c r="E38" s="53" t="s">
        <v>62</v>
      </c>
      <c r="F38" s="56">
        <v>20</v>
      </c>
      <c r="G38" s="288">
        <v>1200</v>
      </c>
      <c r="H38" s="289">
        <f t="shared" si="1"/>
        <v>24000</v>
      </c>
      <c r="I38" s="289">
        <v>840</v>
      </c>
      <c r="J38" s="289"/>
      <c r="K38" s="289"/>
      <c r="L38" s="289"/>
      <c r="M38" s="289"/>
      <c r="N38" s="288"/>
      <c r="O38" s="166"/>
    </row>
    <row r="39" s="63" customFormat="1" ht="48" spans="1:15">
      <c r="A39" s="53">
        <v>36</v>
      </c>
      <c r="B39" s="53" t="s">
        <v>149</v>
      </c>
      <c r="C39" s="269" t="s">
        <v>150</v>
      </c>
      <c r="D39" s="166" t="s">
        <v>151</v>
      </c>
      <c r="E39" s="296" t="s">
        <v>62</v>
      </c>
      <c r="F39" s="56">
        <v>6</v>
      </c>
      <c r="G39" s="166">
        <v>600</v>
      </c>
      <c r="H39" s="289">
        <f t="shared" si="1"/>
        <v>3600</v>
      </c>
      <c r="I39" s="289">
        <v>420</v>
      </c>
      <c r="J39" s="289"/>
      <c r="K39" s="289"/>
      <c r="L39" s="289"/>
      <c r="M39" s="289"/>
      <c r="N39" s="166"/>
      <c r="O39" s="166"/>
    </row>
    <row r="40" s="63" customFormat="1" ht="12" spans="1:15">
      <c r="A40" s="53">
        <v>37</v>
      </c>
      <c r="B40" s="53" t="s">
        <v>152</v>
      </c>
      <c r="C40" s="269" t="s">
        <v>153</v>
      </c>
      <c r="D40" s="53" t="s">
        <v>112</v>
      </c>
      <c r="E40" s="53" t="s">
        <v>62</v>
      </c>
      <c r="F40" s="56">
        <v>10</v>
      </c>
      <c r="G40" s="288">
        <v>1100</v>
      </c>
      <c r="H40" s="289">
        <f t="shared" si="1"/>
        <v>11000</v>
      </c>
      <c r="I40" s="289">
        <v>770</v>
      </c>
      <c r="J40" s="289"/>
      <c r="K40" s="289"/>
      <c r="L40" s="289"/>
      <c r="M40" s="289"/>
      <c r="N40" s="288"/>
      <c r="O40" s="166"/>
    </row>
    <row r="41" s="63" customFormat="1" ht="36" spans="1:15">
      <c r="A41" s="53">
        <v>38</v>
      </c>
      <c r="B41" s="53" t="s">
        <v>154</v>
      </c>
      <c r="C41" s="269" t="s">
        <v>155</v>
      </c>
      <c r="D41" s="53" t="s">
        <v>112</v>
      </c>
      <c r="E41" s="53" t="s">
        <v>62</v>
      </c>
      <c r="F41" s="56">
        <v>14</v>
      </c>
      <c r="G41" s="288">
        <v>2250</v>
      </c>
      <c r="H41" s="289">
        <f t="shared" si="1"/>
        <v>31500</v>
      </c>
      <c r="I41" s="289">
        <v>1575</v>
      </c>
      <c r="J41" s="289"/>
      <c r="K41" s="289"/>
      <c r="L41" s="289"/>
      <c r="M41" s="289"/>
      <c r="N41" s="288"/>
      <c r="O41" s="166"/>
    </row>
    <row r="42" s="63" customFormat="1" ht="24" spans="1:15">
      <c r="A42" s="53">
        <v>39</v>
      </c>
      <c r="B42" s="53" t="s">
        <v>156</v>
      </c>
      <c r="C42" s="269" t="s">
        <v>157</v>
      </c>
      <c r="D42" s="53" t="s">
        <v>112</v>
      </c>
      <c r="E42" s="53" t="s">
        <v>62</v>
      </c>
      <c r="F42" s="56">
        <v>18</v>
      </c>
      <c r="G42" s="288">
        <v>1300</v>
      </c>
      <c r="H42" s="289">
        <f t="shared" si="1"/>
        <v>23400</v>
      </c>
      <c r="I42" s="289">
        <v>910</v>
      </c>
      <c r="J42" s="289"/>
      <c r="K42" s="289"/>
      <c r="L42" s="289"/>
      <c r="M42" s="289"/>
      <c r="N42" s="288"/>
      <c r="O42" s="166"/>
    </row>
    <row r="43" s="63" customFormat="1" ht="36" spans="1:15">
      <c r="A43" s="53">
        <v>40</v>
      </c>
      <c r="B43" s="53" t="s">
        <v>158</v>
      </c>
      <c r="C43" s="269" t="s">
        <v>159</v>
      </c>
      <c r="D43" s="53" t="s">
        <v>112</v>
      </c>
      <c r="E43" s="53" t="s">
        <v>62</v>
      </c>
      <c r="F43" s="56">
        <v>1</v>
      </c>
      <c r="G43" s="288">
        <v>1850</v>
      </c>
      <c r="H43" s="289">
        <f t="shared" si="1"/>
        <v>1850</v>
      </c>
      <c r="I43" s="289">
        <v>1295</v>
      </c>
      <c r="J43" s="289"/>
      <c r="K43" s="289"/>
      <c r="L43" s="289"/>
      <c r="M43" s="289"/>
      <c r="N43" s="288"/>
      <c r="O43" s="53"/>
    </row>
    <row r="44" s="63" customFormat="1" ht="24" spans="1:15">
      <c r="A44" s="53">
        <v>41</v>
      </c>
      <c r="B44" s="166" t="s">
        <v>160</v>
      </c>
      <c r="C44" s="159" t="s">
        <v>161</v>
      </c>
      <c r="D44" s="53" t="s">
        <v>112</v>
      </c>
      <c r="E44" s="53" t="s">
        <v>62</v>
      </c>
      <c r="F44" s="56">
        <v>1</v>
      </c>
      <c r="G44" s="288">
        <v>500</v>
      </c>
      <c r="H44" s="289">
        <f t="shared" si="1"/>
        <v>500</v>
      </c>
      <c r="I44" s="289">
        <v>350</v>
      </c>
      <c r="J44" s="289"/>
      <c r="K44" s="289"/>
      <c r="L44" s="289"/>
      <c r="M44" s="289"/>
      <c r="N44" s="288"/>
      <c r="O44" s="53"/>
    </row>
    <row r="45" s="63" customFormat="1" ht="24" spans="1:15">
      <c r="A45" s="53">
        <v>42</v>
      </c>
      <c r="B45" s="166" t="s">
        <v>162</v>
      </c>
      <c r="C45" s="159" t="s">
        <v>163</v>
      </c>
      <c r="D45" s="53" t="s">
        <v>112</v>
      </c>
      <c r="E45" s="53" t="s">
        <v>62</v>
      </c>
      <c r="F45" s="56">
        <v>1</v>
      </c>
      <c r="G45" s="288">
        <v>1150</v>
      </c>
      <c r="H45" s="289">
        <f t="shared" si="1"/>
        <v>1150</v>
      </c>
      <c r="I45" s="289">
        <v>805</v>
      </c>
      <c r="J45" s="289"/>
      <c r="K45" s="289"/>
      <c r="L45" s="289"/>
      <c r="M45" s="289"/>
      <c r="N45" s="288"/>
      <c r="O45" s="53"/>
    </row>
    <row r="46" s="63" customFormat="1" ht="60" spans="1:15">
      <c r="A46" s="53">
        <v>43</v>
      </c>
      <c r="B46" s="166" t="s">
        <v>164</v>
      </c>
      <c r="C46" s="159" t="s">
        <v>165</v>
      </c>
      <c r="D46" s="53" t="s">
        <v>166</v>
      </c>
      <c r="E46" s="53" t="s">
        <v>62</v>
      </c>
      <c r="F46" s="56">
        <v>3</v>
      </c>
      <c r="G46" s="288">
        <v>1250</v>
      </c>
      <c r="H46" s="289">
        <f t="shared" si="1"/>
        <v>3750</v>
      </c>
      <c r="I46" s="289">
        <v>875</v>
      </c>
      <c r="J46" s="289"/>
      <c r="K46" s="289"/>
      <c r="L46" s="289"/>
      <c r="M46" s="289"/>
      <c r="N46" s="288"/>
      <c r="O46" s="53"/>
    </row>
    <row r="47" s="63" customFormat="1" ht="36" spans="1:15">
      <c r="A47" s="53">
        <v>44</v>
      </c>
      <c r="B47" s="53" t="s">
        <v>167</v>
      </c>
      <c r="C47" s="269" t="s">
        <v>168</v>
      </c>
      <c r="D47" s="53" t="s">
        <v>112</v>
      </c>
      <c r="E47" s="296" t="s">
        <v>62</v>
      </c>
      <c r="F47" s="56">
        <v>3</v>
      </c>
      <c r="G47" s="288">
        <v>1300</v>
      </c>
      <c r="H47" s="289">
        <f t="shared" si="1"/>
        <v>3900</v>
      </c>
      <c r="I47" s="289">
        <v>910</v>
      </c>
      <c r="J47" s="289"/>
      <c r="K47" s="289"/>
      <c r="L47" s="289"/>
      <c r="M47" s="289"/>
      <c r="N47" s="288"/>
      <c r="O47" s="166"/>
    </row>
    <row r="48" s="63" customFormat="1" ht="24" spans="1:15">
      <c r="A48" s="53">
        <v>45</v>
      </c>
      <c r="B48" s="53" t="s">
        <v>169</v>
      </c>
      <c r="C48" s="269" t="s">
        <v>170</v>
      </c>
      <c r="D48" s="53" t="s">
        <v>112</v>
      </c>
      <c r="E48" s="296" t="s">
        <v>62</v>
      </c>
      <c r="F48" s="56">
        <v>3</v>
      </c>
      <c r="G48" s="288">
        <v>1000</v>
      </c>
      <c r="H48" s="289">
        <f t="shared" si="1"/>
        <v>3000</v>
      </c>
      <c r="I48" s="289">
        <v>700</v>
      </c>
      <c r="J48" s="289"/>
      <c r="K48" s="289"/>
      <c r="L48" s="289"/>
      <c r="M48" s="289"/>
      <c r="N48" s="288"/>
      <c r="O48" s="191"/>
    </row>
    <row r="49" s="63" customFormat="1" ht="24" spans="1:15">
      <c r="A49" s="53">
        <v>46</v>
      </c>
      <c r="B49" s="53" t="s">
        <v>171</v>
      </c>
      <c r="C49" s="269" t="s">
        <v>172</v>
      </c>
      <c r="D49" s="53" t="s">
        <v>112</v>
      </c>
      <c r="E49" s="98" t="s">
        <v>62</v>
      </c>
      <c r="F49" s="56">
        <v>3</v>
      </c>
      <c r="G49" s="288">
        <v>1000</v>
      </c>
      <c r="H49" s="289">
        <f t="shared" si="1"/>
        <v>3000</v>
      </c>
      <c r="I49" s="289">
        <v>700</v>
      </c>
      <c r="J49" s="289"/>
      <c r="K49" s="289"/>
      <c r="L49" s="289"/>
      <c r="M49" s="289"/>
      <c r="N49" s="288"/>
      <c r="O49" s="191"/>
    </row>
    <row r="50" s="63" customFormat="1" ht="12" spans="1:15">
      <c r="A50" s="53">
        <v>47</v>
      </c>
      <c r="B50" s="53" t="s">
        <v>173</v>
      </c>
      <c r="C50" s="269" t="s">
        <v>174</v>
      </c>
      <c r="D50" s="116" t="s">
        <v>175</v>
      </c>
      <c r="E50" s="296" t="s">
        <v>62</v>
      </c>
      <c r="F50" s="56">
        <v>2</v>
      </c>
      <c r="G50" s="166">
        <v>3000</v>
      </c>
      <c r="H50" s="289">
        <f t="shared" si="1"/>
        <v>6000</v>
      </c>
      <c r="I50" s="289">
        <v>2100</v>
      </c>
      <c r="J50" s="289"/>
      <c r="K50" s="289"/>
      <c r="L50" s="289"/>
      <c r="M50" s="289"/>
      <c r="N50" s="166"/>
      <c r="O50" s="191"/>
    </row>
    <row r="51" s="63" customFormat="1" ht="36" spans="1:15">
      <c r="A51" s="53">
        <v>48</v>
      </c>
      <c r="B51" s="53" t="s">
        <v>176</v>
      </c>
      <c r="C51" s="269" t="s">
        <v>177</v>
      </c>
      <c r="D51" s="53" t="s">
        <v>178</v>
      </c>
      <c r="E51" s="53" t="s">
        <v>62</v>
      </c>
      <c r="F51" s="56">
        <v>5</v>
      </c>
      <c r="G51" s="288">
        <v>400</v>
      </c>
      <c r="H51" s="289">
        <f t="shared" si="1"/>
        <v>2000</v>
      </c>
      <c r="I51" s="289">
        <v>280</v>
      </c>
      <c r="J51" s="289"/>
      <c r="K51" s="289"/>
      <c r="L51" s="289"/>
      <c r="M51" s="289"/>
      <c r="N51" s="288"/>
      <c r="O51" s="166"/>
    </row>
    <row r="52" s="63" customFormat="1" ht="24" spans="1:15">
      <c r="A52" s="53">
        <v>49</v>
      </c>
      <c r="B52" s="53" t="s">
        <v>179</v>
      </c>
      <c r="C52" s="269" t="s">
        <v>180</v>
      </c>
      <c r="D52" s="166" t="s">
        <v>181</v>
      </c>
      <c r="E52" s="296" t="s">
        <v>62</v>
      </c>
      <c r="F52" s="56">
        <v>5</v>
      </c>
      <c r="G52" s="288">
        <v>300</v>
      </c>
      <c r="H52" s="289">
        <f t="shared" si="1"/>
        <v>1500</v>
      </c>
      <c r="I52" s="289">
        <v>210</v>
      </c>
      <c r="J52" s="289"/>
      <c r="K52" s="289"/>
      <c r="L52" s="289"/>
      <c r="M52" s="289"/>
      <c r="N52" s="288"/>
      <c r="O52" s="166"/>
    </row>
    <row r="53" s="63" customFormat="1" ht="24" spans="1:15">
      <c r="A53" s="53">
        <v>50</v>
      </c>
      <c r="B53" s="53" t="s">
        <v>182</v>
      </c>
      <c r="C53" s="297" t="s">
        <v>183</v>
      </c>
      <c r="D53" s="53" t="s">
        <v>112</v>
      </c>
      <c r="E53" s="298" t="s">
        <v>62</v>
      </c>
      <c r="F53" s="56">
        <v>1</v>
      </c>
      <c r="G53" s="288">
        <v>12000</v>
      </c>
      <c r="H53" s="289">
        <f t="shared" si="1"/>
        <v>12000</v>
      </c>
      <c r="I53" s="289">
        <v>8400</v>
      </c>
      <c r="J53" s="289"/>
      <c r="K53" s="289"/>
      <c r="L53" s="289"/>
      <c r="M53" s="289"/>
      <c r="N53" s="288"/>
      <c r="O53" s="166"/>
    </row>
    <row r="54" s="63" customFormat="1" ht="36" spans="1:15">
      <c r="A54" s="53">
        <v>51</v>
      </c>
      <c r="B54" s="53" t="s">
        <v>184</v>
      </c>
      <c r="C54" s="297" t="s">
        <v>185</v>
      </c>
      <c r="D54" s="53" t="s">
        <v>186</v>
      </c>
      <c r="E54" s="53" t="s">
        <v>62</v>
      </c>
      <c r="F54" s="56">
        <v>10</v>
      </c>
      <c r="G54" s="288">
        <v>600</v>
      </c>
      <c r="H54" s="289">
        <f t="shared" si="1"/>
        <v>6000</v>
      </c>
      <c r="I54" s="289">
        <v>420</v>
      </c>
      <c r="J54" s="289"/>
      <c r="K54" s="289"/>
      <c r="L54" s="289"/>
      <c r="M54" s="289"/>
      <c r="N54" s="288"/>
      <c r="O54" s="53"/>
    </row>
    <row r="55" s="63" customFormat="1" ht="36" spans="1:15">
      <c r="A55" s="53">
        <v>52</v>
      </c>
      <c r="B55" s="53" t="s">
        <v>187</v>
      </c>
      <c r="C55" s="269" t="s">
        <v>188</v>
      </c>
      <c r="D55" s="53" t="s">
        <v>112</v>
      </c>
      <c r="E55" s="53" t="s">
        <v>62</v>
      </c>
      <c r="F55" s="56">
        <v>3</v>
      </c>
      <c r="G55" s="166">
        <v>1200</v>
      </c>
      <c r="H55" s="289">
        <f t="shared" si="1"/>
        <v>3600</v>
      </c>
      <c r="I55" s="289">
        <v>840</v>
      </c>
      <c r="J55" s="289"/>
      <c r="K55" s="289"/>
      <c r="L55" s="289"/>
      <c r="M55" s="289"/>
      <c r="N55" s="166"/>
      <c r="O55" s="166"/>
    </row>
    <row r="56" s="63" customFormat="1" ht="24" spans="1:15">
      <c r="A56" s="53">
        <v>53</v>
      </c>
      <c r="B56" s="53" t="s">
        <v>189</v>
      </c>
      <c r="C56" s="269" t="s">
        <v>190</v>
      </c>
      <c r="D56" s="53" t="s">
        <v>112</v>
      </c>
      <c r="E56" s="53" t="s">
        <v>62</v>
      </c>
      <c r="F56" s="56">
        <v>3</v>
      </c>
      <c r="G56" s="288">
        <v>2700</v>
      </c>
      <c r="H56" s="289">
        <f t="shared" si="1"/>
        <v>8100</v>
      </c>
      <c r="I56" s="289">
        <v>1890</v>
      </c>
      <c r="J56" s="289"/>
      <c r="K56" s="289"/>
      <c r="L56" s="289"/>
      <c r="M56" s="289"/>
      <c r="N56" s="288"/>
      <c r="O56" s="191"/>
    </row>
    <row r="57" s="63" customFormat="1" ht="24" spans="1:15">
      <c r="A57" s="53">
        <v>54</v>
      </c>
      <c r="B57" s="53" t="s">
        <v>191</v>
      </c>
      <c r="C57" s="269" t="s">
        <v>192</v>
      </c>
      <c r="D57" s="53" t="s">
        <v>112</v>
      </c>
      <c r="E57" s="53" t="s">
        <v>62</v>
      </c>
      <c r="F57" s="56">
        <v>3</v>
      </c>
      <c r="G57" s="288">
        <v>3800</v>
      </c>
      <c r="H57" s="289">
        <f t="shared" si="1"/>
        <v>11400</v>
      </c>
      <c r="I57" s="289">
        <v>2660</v>
      </c>
      <c r="J57" s="289"/>
      <c r="K57" s="289"/>
      <c r="L57" s="289"/>
      <c r="M57" s="289"/>
      <c r="N57" s="288"/>
      <c r="O57" s="191"/>
    </row>
    <row r="58" s="63" customFormat="1" ht="24" spans="1:15">
      <c r="A58" s="53">
        <v>55</v>
      </c>
      <c r="B58" s="166" t="s">
        <v>193</v>
      </c>
      <c r="C58" s="159" t="s">
        <v>194</v>
      </c>
      <c r="D58" s="166" t="s">
        <v>195</v>
      </c>
      <c r="E58" s="166" t="s">
        <v>62</v>
      </c>
      <c r="F58" s="56">
        <v>5</v>
      </c>
      <c r="G58" s="288">
        <v>800</v>
      </c>
      <c r="H58" s="289">
        <f t="shared" si="1"/>
        <v>4000</v>
      </c>
      <c r="I58" s="289">
        <v>560</v>
      </c>
      <c r="J58" s="289"/>
      <c r="K58" s="289"/>
      <c r="L58" s="289"/>
      <c r="M58" s="289"/>
      <c r="N58" s="288"/>
      <c r="O58" s="191"/>
    </row>
    <row r="59" s="63" customFormat="1" ht="24" spans="1:15">
      <c r="A59" s="53">
        <v>56</v>
      </c>
      <c r="B59" s="166" t="s">
        <v>196</v>
      </c>
      <c r="C59" s="159" t="s">
        <v>197</v>
      </c>
      <c r="D59" s="166" t="s">
        <v>198</v>
      </c>
      <c r="E59" s="166" t="s">
        <v>62</v>
      </c>
      <c r="F59" s="56">
        <v>5</v>
      </c>
      <c r="G59" s="288">
        <v>800</v>
      </c>
      <c r="H59" s="289">
        <f t="shared" si="1"/>
        <v>4000</v>
      </c>
      <c r="I59" s="289">
        <v>560</v>
      </c>
      <c r="J59" s="289"/>
      <c r="K59" s="289"/>
      <c r="L59" s="289"/>
      <c r="M59" s="289"/>
      <c r="N59" s="288"/>
      <c r="O59" s="191"/>
    </row>
    <row r="60" s="63" customFormat="1" ht="12" spans="1:15">
      <c r="A60" s="53">
        <v>57</v>
      </c>
      <c r="B60" s="166" t="s">
        <v>199</v>
      </c>
      <c r="C60" s="159" t="s">
        <v>200</v>
      </c>
      <c r="D60" s="53" t="s">
        <v>112</v>
      </c>
      <c r="E60" s="294" t="s">
        <v>62</v>
      </c>
      <c r="F60" s="56">
        <v>8</v>
      </c>
      <c r="G60" s="166">
        <v>900</v>
      </c>
      <c r="H60" s="289">
        <f t="shared" si="1"/>
        <v>7200</v>
      </c>
      <c r="I60" s="289">
        <v>630</v>
      </c>
      <c r="J60" s="289"/>
      <c r="K60" s="289"/>
      <c r="L60" s="289"/>
      <c r="M60" s="289"/>
      <c r="N60" s="166"/>
      <c r="O60" s="191"/>
    </row>
    <row r="61" s="63" customFormat="1" ht="36" spans="1:15">
      <c r="A61" s="53">
        <v>58</v>
      </c>
      <c r="B61" s="166" t="s">
        <v>201</v>
      </c>
      <c r="C61" s="159" t="s">
        <v>202</v>
      </c>
      <c r="D61" s="53" t="s">
        <v>203</v>
      </c>
      <c r="E61" s="294" t="s">
        <v>62</v>
      </c>
      <c r="F61" s="56">
        <v>8</v>
      </c>
      <c r="G61" s="288">
        <v>5580</v>
      </c>
      <c r="H61" s="289">
        <f t="shared" si="1"/>
        <v>44640</v>
      </c>
      <c r="I61" s="289">
        <v>3906</v>
      </c>
      <c r="J61" s="289"/>
      <c r="K61" s="289"/>
      <c r="L61" s="289"/>
      <c r="M61" s="289"/>
      <c r="N61" s="288"/>
      <c r="O61" s="191"/>
    </row>
    <row r="62" s="63" customFormat="1" ht="24" spans="1:15">
      <c r="A62" s="53">
        <v>59</v>
      </c>
      <c r="B62" s="166" t="s">
        <v>204</v>
      </c>
      <c r="C62" s="269" t="s">
        <v>205</v>
      </c>
      <c r="D62" s="166" t="s">
        <v>97</v>
      </c>
      <c r="E62" s="53" t="s">
        <v>62</v>
      </c>
      <c r="F62" s="56">
        <v>4</v>
      </c>
      <c r="G62" s="288">
        <v>1250</v>
      </c>
      <c r="H62" s="289">
        <f t="shared" si="1"/>
        <v>5000</v>
      </c>
      <c r="I62" s="289">
        <v>875</v>
      </c>
      <c r="J62" s="289"/>
      <c r="K62" s="289"/>
      <c r="L62" s="289"/>
      <c r="M62" s="289"/>
      <c r="N62" s="288"/>
      <c r="O62" s="159"/>
    </row>
    <row r="63" s="63" customFormat="1" ht="12" spans="1:15">
      <c r="A63" s="53">
        <v>60</v>
      </c>
      <c r="B63" s="166" t="s">
        <v>206</v>
      </c>
      <c r="C63" s="269" t="s">
        <v>207</v>
      </c>
      <c r="D63" s="53" t="s">
        <v>208</v>
      </c>
      <c r="E63" s="53" t="s">
        <v>209</v>
      </c>
      <c r="F63" s="56">
        <v>20</v>
      </c>
      <c r="G63" s="166">
        <v>80</v>
      </c>
      <c r="H63" s="289">
        <f t="shared" si="1"/>
        <v>1600</v>
      </c>
      <c r="I63" s="289">
        <v>56</v>
      </c>
      <c r="J63" s="289"/>
      <c r="K63" s="289"/>
      <c r="L63" s="289"/>
      <c r="M63" s="289"/>
      <c r="N63" s="166"/>
      <c r="O63" s="159"/>
    </row>
    <row r="64" s="63" customFormat="1" ht="18" customHeight="1" spans="1:15">
      <c r="A64" s="53">
        <v>61</v>
      </c>
      <c r="B64" s="166" t="s">
        <v>210</v>
      </c>
      <c r="C64" s="269" t="s">
        <v>211</v>
      </c>
      <c r="D64" s="166" t="s">
        <v>212</v>
      </c>
      <c r="E64" s="53" t="s">
        <v>213</v>
      </c>
      <c r="F64" s="56">
        <v>10</v>
      </c>
      <c r="G64" s="166">
        <v>1500</v>
      </c>
      <c r="H64" s="289">
        <f t="shared" si="1"/>
        <v>15000</v>
      </c>
      <c r="I64" s="289">
        <v>1050</v>
      </c>
      <c r="J64" s="289"/>
      <c r="K64" s="289"/>
      <c r="L64" s="289"/>
      <c r="M64" s="289"/>
      <c r="N64" s="166"/>
      <c r="O64" s="159"/>
    </row>
    <row r="65" s="63" customFormat="1" ht="18" customHeight="1" spans="1:15">
      <c r="A65" s="53">
        <v>62</v>
      </c>
      <c r="B65" s="166" t="s">
        <v>214</v>
      </c>
      <c r="C65" s="159" t="s">
        <v>215</v>
      </c>
      <c r="D65" s="166" t="s">
        <v>216</v>
      </c>
      <c r="E65" s="53" t="s">
        <v>217</v>
      </c>
      <c r="F65" s="56">
        <v>9</v>
      </c>
      <c r="G65" s="288">
        <v>4800</v>
      </c>
      <c r="H65" s="289">
        <f t="shared" si="1"/>
        <v>43200</v>
      </c>
      <c r="I65" s="289">
        <v>3360</v>
      </c>
      <c r="J65" s="289"/>
      <c r="K65" s="289"/>
      <c r="L65" s="289"/>
      <c r="M65" s="289"/>
      <c r="N65" s="288"/>
      <c r="O65" s="166"/>
    </row>
    <row r="66" s="63" customFormat="1" ht="18" customHeight="1" spans="1:15">
      <c r="A66" s="53">
        <v>63</v>
      </c>
      <c r="B66" s="166"/>
      <c r="C66" s="159" t="s">
        <v>218</v>
      </c>
      <c r="D66" s="166"/>
      <c r="E66" s="53" t="s">
        <v>217</v>
      </c>
      <c r="F66" s="56">
        <v>9</v>
      </c>
      <c r="G66" s="288">
        <v>4000</v>
      </c>
      <c r="H66" s="289">
        <f t="shared" si="1"/>
        <v>36000</v>
      </c>
      <c r="I66" s="289">
        <v>2800</v>
      </c>
      <c r="J66" s="289"/>
      <c r="K66" s="289"/>
      <c r="L66" s="289"/>
      <c r="M66" s="289"/>
      <c r="N66" s="288"/>
      <c r="O66" s="166"/>
    </row>
    <row r="67" s="63" customFormat="1" ht="18" customHeight="1" spans="1:15">
      <c r="A67" s="53">
        <v>64</v>
      </c>
      <c r="B67" s="166"/>
      <c r="C67" s="159" t="s">
        <v>219</v>
      </c>
      <c r="D67" s="166"/>
      <c r="E67" s="53" t="s">
        <v>217</v>
      </c>
      <c r="F67" s="56">
        <v>9</v>
      </c>
      <c r="G67" s="288">
        <v>1600</v>
      </c>
      <c r="H67" s="289">
        <f t="shared" si="1"/>
        <v>14400</v>
      </c>
      <c r="I67" s="289">
        <v>1120</v>
      </c>
      <c r="J67" s="289"/>
      <c r="K67" s="289"/>
      <c r="L67" s="289"/>
      <c r="M67" s="289"/>
      <c r="N67" s="288"/>
      <c r="O67" s="166"/>
    </row>
    <row r="68" s="63" customFormat="1" ht="18" customHeight="1" spans="1:15">
      <c r="A68" s="53">
        <v>65</v>
      </c>
      <c r="B68" s="166"/>
      <c r="C68" s="159" t="s">
        <v>220</v>
      </c>
      <c r="D68" s="166"/>
      <c r="E68" s="53" t="s">
        <v>217</v>
      </c>
      <c r="F68" s="56">
        <v>9</v>
      </c>
      <c r="G68" s="166">
        <v>800</v>
      </c>
      <c r="H68" s="289">
        <f t="shared" si="1"/>
        <v>7200</v>
      </c>
      <c r="I68" s="289">
        <v>560</v>
      </c>
      <c r="J68" s="289"/>
      <c r="K68" s="289"/>
      <c r="L68" s="289"/>
      <c r="M68" s="289"/>
      <c r="N68" s="166"/>
      <c r="O68" s="166"/>
    </row>
    <row r="69" s="63" customFormat="1" ht="24" spans="1:15">
      <c r="A69" s="53">
        <v>66</v>
      </c>
      <c r="B69" s="53" t="s">
        <v>221</v>
      </c>
      <c r="C69" s="269" t="s">
        <v>222</v>
      </c>
      <c r="D69" s="53" t="s">
        <v>216</v>
      </c>
      <c r="E69" s="53" t="s">
        <v>217</v>
      </c>
      <c r="F69" s="56">
        <v>7</v>
      </c>
      <c r="G69" s="300">
        <v>1600</v>
      </c>
      <c r="H69" s="289">
        <f t="shared" ref="H69:H100" si="2">G69*F69</f>
        <v>11200</v>
      </c>
      <c r="I69" s="289">
        <v>1120</v>
      </c>
      <c r="J69" s="289"/>
      <c r="K69" s="289"/>
      <c r="L69" s="289"/>
      <c r="M69" s="289"/>
      <c r="N69" s="300"/>
      <c r="O69" s="269"/>
    </row>
    <row r="70" s="63" customFormat="1" ht="12" spans="1:15">
      <c r="A70" s="53">
        <v>67</v>
      </c>
      <c r="B70" s="53"/>
      <c r="C70" s="269" t="s">
        <v>80</v>
      </c>
      <c r="D70" s="53"/>
      <c r="E70" s="53" t="s">
        <v>217</v>
      </c>
      <c r="F70" s="56">
        <v>7</v>
      </c>
      <c r="G70" s="300">
        <v>800</v>
      </c>
      <c r="H70" s="289">
        <f t="shared" si="2"/>
        <v>5600</v>
      </c>
      <c r="I70" s="289">
        <v>560</v>
      </c>
      <c r="J70" s="289"/>
      <c r="K70" s="289"/>
      <c r="L70" s="289"/>
      <c r="M70" s="289"/>
      <c r="N70" s="300"/>
      <c r="O70" s="269"/>
    </row>
    <row r="71" s="63" customFormat="1" ht="12" spans="1:15">
      <c r="A71" s="53">
        <v>68</v>
      </c>
      <c r="B71" s="53"/>
      <c r="C71" s="269" t="s">
        <v>80</v>
      </c>
      <c r="D71" s="53"/>
      <c r="E71" s="53" t="s">
        <v>217</v>
      </c>
      <c r="F71" s="56">
        <v>7</v>
      </c>
      <c r="G71" s="300">
        <v>800</v>
      </c>
      <c r="H71" s="289">
        <f t="shared" si="2"/>
        <v>5600</v>
      </c>
      <c r="I71" s="289">
        <v>560</v>
      </c>
      <c r="J71" s="289"/>
      <c r="K71" s="289"/>
      <c r="L71" s="289"/>
      <c r="M71" s="289"/>
      <c r="N71" s="300"/>
      <c r="O71" s="269"/>
    </row>
    <row r="72" s="63" customFormat="1" ht="24" spans="1:15">
      <c r="A72" s="53">
        <v>69</v>
      </c>
      <c r="B72" s="166" t="s">
        <v>223</v>
      </c>
      <c r="C72" s="159" t="s">
        <v>224</v>
      </c>
      <c r="D72" s="166" t="s">
        <v>225</v>
      </c>
      <c r="E72" s="53" t="s">
        <v>62</v>
      </c>
      <c r="F72" s="56">
        <v>8</v>
      </c>
      <c r="G72" s="288">
        <v>2500</v>
      </c>
      <c r="H72" s="289">
        <f t="shared" si="2"/>
        <v>20000</v>
      </c>
      <c r="I72" s="289">
        <v>1750</v>
      </c>
      <c r="J72" s="289"/>
      <c r="K72" s="289"/>
      <c r="L72" s="289"/>
      <c r="M72" s="289"/>
      <c r="N72" s="288"/>
      <c r="O72" s="53"/>
    </row>
    <row r="73" s="63" customFormat="1" ht="24" spans="1:15">
      <c r="A73" s="53">
        <v>70</v>
      </c>
      <c r="B73" s="166" t="s">
        <v>226</v>
      </c>
      <c r="C73" s="159" t="s">
        <v>227</v>
      </c>
      <c r="D73" s="166" t="s">
        <v>228</v>
      </c>
      <c r="E73" s="53" t="s">
        <v>62</v>
      </c>
      <c r="F73" s="56">
        <v>4</v>
      </c>
      <c r="G73" s="288">
        <v>3000</v>
      </c>
      <c r="H73" s="289">
        <f t="shared" si="2"/>
        <v>12000</v>
      </c>
      <c r="I73" s="289">
        <v>2100</v>
      </c>
      <c r="J73" s="289"/>
      <c r="K73" s="289"/>
      <c r="L73" s="289"/>
      <c r="M73" s="289"/>
      <c r="N73" s="288"/>
      <c r="O73" s="53"/>
    </row>
    <row r="74" s="63" customFormat="1" ht="84" spans="1:15">
      <c r="A74" s="53">
        <v>71</v>
      </c>
      <c r="B74" s="166" t="s">
        <v>229</v>
      </c>
      <c r="C74" s="159" t="s">
        <v>230</v>
      </c>
      <c r="D74" s="166" t="s">
        <v>231</v>
      </c>
      <c r="E74" s="53" t="s">
        <v>62</v>
      </c>
      <c r="F74" s="56">
        <v>4</v>
      </c>
      <c r="G74" s="288">
        <v>1300</v>
      </c>
      <c r="H74" s="289">
        <f t="shared" si="2"/>
        <v>5200</v>
      </c>
      <c r="I74" s="289">
        <v>910</v>
      </c>
      <c r="J74" s="289"/>
      <c r="K74" s="289"/>
      <c r="L74" s="289"/>
      <c r="M74" s="289"/>
      <c r="N74" s="288"/>
      <c r="O74" s="53"/>
    </row>
    <row r="75" s="63" customFormat="1" ht="12" spans="1:15">
      <c r="A75" s="53">
        <v>72</v>
      </c>
      <c r="B75" s="291" t="s">
        <v>232</v>
      </c>
      <c r="C75" s="301" t="s">
        <v>78</v>
      </c>
      <c r="D75" s="291" t="s">
        <v>79</v>
      </c>
      <c r="E75" s="53" t="s">
        <v>62</v>
      </c>
      <c r="F75" s="56">
        <v>8</v>
      </c>
      <c r="G75" s="166">
        <v>600</v>
      </c>
      <c r="H75" s="289">
        <f t="shared" si="2"/>
        <v>4800</v>
      </c>
      <c r="I75" s="289">
        <v>420</v>
      </c>
      <c r="J75" s="289"/>
      <c r="K75" s="289"/>
      <c r="L75" s="289"/>
      <c r="M75" s="289"/>
      <c r="N75" s="166"/>
      <c r="O75" s="53"/>
    </row>
    <row r="76" s="63" customFormat="1" ht="24" spans="1:15">
      <c r="A76" s="53">
        <v>73</v>
      </c>
      <c r="B76" s="291" t="s">
        <v>233</v>
      </c>
      <c r="C76" s="301" t="s">
        <v>234</v>
      </c>
      <c r="D76" s="291" t="s">
        <v>235</v>
      </c>
      <c r="E76" s="53" t="s">
        <v>62</v>
      </c>
      <c r="F76" s="56">
        <v>3</v>
      </c>
      <c r="G76" s="288">
        <v>2500</v>
      </c>
      <c r="H76" s="289">
        <f t="shared" si="2"/>
        <v>7500</v>
      </c>
      <c r="I76" s="289">
        <v>1750</v>
      </c>
      <c r="J76" s="289"/>
      <c r="K76" s="289"/>
      <c r="L76" s="289"/>
      <c r="M76" s="289"/>
      <c r="N76" s="288"/>
      <c r="O76" s="53"/>
    </row>
    <row r="77" s="63" customFormat="1" ht="84" spans="1:15">
      <c r="A77" s="53">
        <v>74</v>
      </c>
      <c r="B77" s="291" t="s">
        <v>236</v>
      </c>
      <c r="C77" s="301" t="s">
        <v>237</v>
      </c>
      <c r="D77" s="291" t="s">
        <v>238</v>
      </c>
      <c r="E77" s="53" t="s">
        <v>62</v>
      </c>
      <c r="F77" s="56">
        <v>2</v>
      </c>
      <c r="G77" s="288">
        <v>1200</v>
      </c>
      <c r="H77" s="289">
        <f t="shared" si="2"/>
        <v>2400</v>
      </c>
      <c r="I77" s="289">
        <v>840</v>
      </c>
      <c r="J77" s="289"/>
      <c r="K77" s="289"/>
      <c r="L77" s="289"/>
      <c r="M77" s="289"/>
      <c r="N77" s="288"/>
      <c r="O77" s="53"/>
    </row>
    <row r="78" s="63" customFormat="1" ht="36" spans="1:15">
      <c r="A78" s="53">
        <v>75</v>
      </c>
      <c r="B78" s="291" t="s">
        <v>239</v>
      </c>
      <c r="C78" s="301" t="s">
        <v>240</v>
      </c>
      <c r="D78" s="302" t="s">
        <v>241</v>
      </c>
      <c r="E78" s="53" t="s">
        <v>62</v>
      </c>
      <c r="F78" s="56">
        <v>1</v>
      </c>
      <c r="G78" s="288">
        <v>2600</v>
      </c>
      <c r="H78" s="289">
        <f t="shared" si="2"/>
        <v>2600</v>
      </c>
      <c r="I78" s="289">
        <v>1820</v>
      </c>
      <c r="J78" s="289"/>
      <c r="K78" s="289"/>
      <c r="L78" s="289"/>
      <c r="M78" s="289"/>
      <c r="N78" s="288"/>
      <c r="O78" s="53"/>
    </row>
    <row r="79" s="63" customFormat="1" ht="72" spans="1:15">
      <c r="A79" s="53">
        <v>76</v>
      </c>
      <c r="B79" s="291" t="s">
        <v>242</v>
      </c>
      <c r="C79" s="301" t="s">
        <v>243</v>
      </c>
      <c r="D79" s="303" t="s">
        <v>244</v>
      </c>
      <c r="E79" s="53" t="s">
        <v>62</v>
      </c>
      <c r="F79" s="56">
        <v>3</v>
      </c>
      <c r="G79" s="166">
        <v>1500</v>
      </c>
      <c r="H79" s="289">
        <f t="shared" si="2"/>
        <v>4500</v>
      </c>
      <c r="I79" s="289">
        <v>1050</v>
      </c>
      <c r="J79" s="289"/>
      <c r="K79" s="289"/>
      <c r="L79" s="289"/>
      <c r="M79" s="289"/>
      <c r="N79" s="166"/>
      <c r="O79" s="53"/>
    </row>
    <row r="80" s="63" customFormat="1" ht="24" spans="1:15">
      <c r="A80" s="53">
        <v>77</v>
      </c>
      <c r="B80" s="291" t="s">
        <v>245</v>
      </c>
      <c r="C80" s="301" t="s">
        <v>246</v>
      </c>
      <c r="D80" s="291" t="s">
        <v>247</v>
      </c>
      <c r="E80" s="53" t="s">
        <v>62</v>
      </c>
      <c r="F80" s="56">
        <v>1</v>
      </c>
      <c r="G80" s="288">
        <v>850</v>
      </c>
      <c r="H80" s="289">
        <f t="shared" si="2"/>
        <v>850</v>
      </c>
      <c r="I80" s="289">
        <v>595</v>
      </c>
      <c r="J80" s="289"/>
      <c r="K80" s="289"/>
      <c r="L80" s="289"/>
      <c r="M80" s="289"/>
      <c r="N80" s="288"/>
      <c r="O80" s="53"/>
    </row>
    <row r="81" s="63" customFormat="1" ht="24" spans="1:15">
      <c r="A81" s="53">
        <v>78</v>
      </c>
      <c r="B81" s="133" t="s">
        <v>248</v>
      </c>
      <c r="C81" s="166" t="s">
        <v>249</v>
      </c>
      <c r="D81" s="53" t="s">
        <v>112</v>
      </c>
      <c r="E81" s="304" t="s">
        <v>62</v>
      </c>
      <c r="F81" s="56">
        <v>1</v>
      </c>
      <c r="G81" s="288">
        <f>500+500+500+1000</f>
        <v>2500</v>
      </c>
      <c r="H81" s="289">
        <f t="shared" si="2"/>
        <v>2500</v>
      </c>
      <c r="I81" s="289">
        <v>1750</v>
      </c>
      <c r="J81" s="289"/>
      <c r="K81" s="289"/>
      <c r="L81" s="289"/>
      <c r="M81" s="289"/>
      <c r="N81" s="288"/>
      <c r="O81" s="53"/>
    </row>
    <row r="82" s="63" customFormat="1" ht="24" spans="1:15">
      <c r="A82" s="53">
        <v>79</v>
      </c>
      <c r="B82" s="166" t="s">
        <v>250</v>
      </c>
      <c r="C82" s="301" t="s">
        <v>251</v>
      </c>
      <c r="D82" s="291" t="s">
        <v>252</v>
      </c>
      <c r="E82" s="53" t="s">
        <v>62</v>
      </c>
      <c r="F82" s="56">
        <v>2</v>
      </c>
      <c r="G82" s="288">
        <v>1000</v>
      </c>
      <c r="H82" s="289">
        <f t="shared" si="2"/>
        <v>2000</v>
      </c>
      <c r="I82" s="289">
        <v>700</v>
      </c>
      <c r="J82" s="289"/>
      <c r="K82" s="289"/>
      <c r="L82" s="289"/>
      <c r="M82" s="289"/>
      <c r="N82" s="288"/>
      <c r="O82" s="53"/>
    </row>
    <row r="83" s="63" customFormat="1" ht="36" spans="1:15">
      <c r="A83" s="53">
        <v>80</v>
      </c>
      <c r="B83" s="31" t="s">
        <v>253</v>
      </c>
      <c r="C83" s="301" t="s">
        <v>251</v>
      </c>
      <c r="D83" s="31" t="s">
        <v>254</v>
      </c>
      <c r="E83" s="31" t="s">
        <v>62</v>
      </c>
      <c r="F83" s="197">
        <v>6</v>
      </c>
      <c r="G83" s="288">
        <f>200+1000+200+50</f>
        <v>1450</v>
      </c>
      <c r="H83" s="289">
        <f t="shared" si="2"/>
        <v>8700</v>
      </c>
      <c r="I83" s="289">
        <v>1015</v>
      </c>
      <c r="J83" s="289"/>
      <c r="K83" s="289"/>
      <c r="L83" s="289"/>
      <c r="M83" s="289"/>
      <c r="N83" s="288"/>
      <c r="O83" s="166"/>
    </row>
    <row r="84" s="63" customFormat="1" ht="37.5" spans="1:15">
      <c r="A84" s="53">
        <v>81</v>
      </c>
      <c r="B84" s="31" t="s">
        <v>255</v>
      </c>
      <c r="C84" s="143" t="s">
        <v>256</v>
      </c>
      <c r="D84" s="143" t="s">
        <v>257</v>
      </c>
      <c r="E84" s="31" t="s">
        <v>62</v>
      </c>
      <c r="F84" s="197">
        <v>12</v>
      </c>
      <c r="G84" s="288">
        <f>50+100+400+300+500</f>
        <v>1350</v>
      </c>
      <c r="H84" s="289">
        <f t="shared" si="2"/>
        <v>16200</v>
      </c>
      <c r="I84" s="289">
        <v>945</v>
      </c>
      <c r="J84" s="289"/>
      <c r="K84" s="289"/>
      <c r="L84" s="289"/>
      <c r="M84" s="289"/>
      <c r="N84" s="288"/>
      <c r="O84" s="53"/>
    </row>
    <row r="85" s="63" customFormat="1" ht="36" spans="1:15">
      <c r="A85" s="53">
        <v>82</v>
      </c>
      <c r="B85" s="31" t="s">
        <v>258</v>
      </c>
      <c r="C85" s="143" t="s">
        <v>259</v>
      </c>
      <c r="D85" s="143" t="s">
        <v>260</v>
      </c>
      <c r="E85" s="31" t="s">
        <v>62</v>
      </c>
      <c r="F85" s="197">
        <v>3</v>
      </c>
      <c r="G85" s="288">
        <f>100+600</f>
        <v>700</v>
      </c>
      <c r="H85" s="289">
        <f t="shared" si="2"/>
        <v>2100</v>
      </c>
      <c r="I85" s="289">
        <v>490</v>
      </c>
      <c r="J85" s="289"/>
      <c r="K85" s="289"/>
      <c r="L85" s="289"/>
      <c r="M85" s="289"/>
      <c r="N85" s="288"/>
      <c r="O85" s="53"/>
    </row>
    <row r="86" s="63" customFormat="1" ht="36" spans="1:15">
      <c r="A86" s="53">
        <v>83</v>
      </c>
      <c r="B86" s="43" t="s">
        <v>261</v>
      </c>
      <c r="C86" s="305" t="s">
        <v>262</v>
      </c>
      <c r="D86" s="305" t="s">
        <v>263</v>
      </c>
      <c r="E86" s="306" t="s">
        <v>62</v>
      </c>
      <c r="F86" s="197">
        <v>5</v>
      </c>
      <c r="G86" s="288">
        <f>50+100+600+300</f>
        <v>1050</v>
      </c>
      <c r="H86" s="289">
        <f t="shared" si="2"/>
        <v>5250</v>
      </c>
      <c r="I86" s="289">
        <v>735</v>
      </c>
      <c r="J86" s="289"/>
      <c r="K86" s="289"/>
      <c r="L86" s="289"/>
      <c r="M86" s="289"/>
      <c r="N86" s="288"/>
      <c r="O86" s="308"/>
    </row>
    <row r="87" s="63" customFormat="1" ht="24" spans="1:15">
      <c r="A87" s="53">
        <v>84</v>
      </c>
      <c r="B87" s="197" t="s">
        <v>264</v>
      </c>
      <c r="C87" s="143" t="s">
        <v>265</v>
      </c>
      <c r="D87" s="305" t="s">
        <v>263</v>
      </c>
      <c r="E87" s="31" t="s">
        <v>62</v>
      </c>
      <c r="F87" s="197">
        <v>10</v>
      </c>
      <c r="G87" s="288">
        <f>20+100+200+1000+200</f>
        <v>1520</v>
      </c>
      <c r="H87" s="289">
        <f t="shared" si="2"/>
        <v>15200</v>
      </c>
      <c r="I87" s="289">
        <v>1064</v>
      </c>
      <c r="J87" s="289"/>
      <c r="K87" s="289"/>
      <c r="L87" s="289"/>
      <c r="M87" s="289"/>
      <c r="N87" s="288"/>
      <c r="O87" s="197"/>
    </row>
    <row r="88" s="63" customFormat="1" ht="24" spans="1:15">
      <c r="A88" s="53">
        <v>85</v>
      </c>
      <c r="B88" s="197" t="s">
        <v>266</v>
      </c>
      <c r="C88" s="143" t="s">
        <v>267</v>
      </c>
      <c r="D88" s="143" t="s">
        <v>268</v>
      </c>
      <c r="E88" s="31" t="s">
        <v>62</v>
      </c>
      <c r="F88" s="197">
        <v>10</v>
      </c>
      <c r="G88" s="288">
        <f>50+100+1000</f>
        <v>1150</v>
      </c>
      <c r="H88" s="289">
        <f t="shared" si="2"/>
        <v>11500</v>
      </c>
      <c r="I88" s="289">
        <v>805</v>
      </c>
      <c r="J88" s="289"/>
      <c r="K88" s="289"/>
      <c r="L88" s="289"/>
      <c r="M88" s="289"/>
      <c r="N88" s="288"/>
      <c r="O88" s="309"/>
    </row>
    <row r="89" s="63" customFormat="1" ht="24" spans="1:15">
      <c r="A89" s="53">
        <v>86</v>
      </c>
      <c r="B89" s="197" t="s">
        <v>269</v>
      </c>
      <c r="C89" s="143" t="s">
        <v>270</v>
      </c>
      <c r="D89" s="305" t="s">
        <v>263</v>
      </c>
      <c r="E89" s="31" t="s">
        <v>62</v>
      </c>
      <c r="F89" s="197">
        <v>10</v>
      </c>
      <c r="G89" s="288">
        <f>50+100+200+400+1000</f>
        <v>1750</v>
      </c>
      <c r="H89" s="289">
        <f t="shared" si="2"/>
        <v>17500</v>
      </c>
      <c r="I89" s="289">
        <v>1225</v>
      </c>
      <c r="J89" s="289"/>
      <c r="K89" s="289"/>
      <c r="L89" s="289"/>
      <c r="M89" s="289"/>
      <c r="N89" s="288"/>
      <c r="O89" s="197"/>
    </row>
    <row r="90" s="63" customFormat="1" ht="24" spans="1:15">
      <c r="A90" s="53">
        <v>87</v>
      </c>
      <c r="B90" s="197" t="s">
        <v>271</v>
      </c>
      <c r="C90" s="143" t="s">
        <v>272</v>
      </c>
      <c r="D90" s="143" t="s">
        <v>273</v>
      </c>
      <c r="E90" s="31" t="s">
        <v>62</v>
      </c>
      <c r="F90" s="197">
        <v>10</v>
      </c>
      <c r="G90" s="288">
        <f>50+100+1000</f>
        <v>1150</v>
      </c>
      <c r="H90" s="289">
        <f t="shared" si="2"/>
        <v>11500</v>
      </c>
      <c r="I90" s="289">
        <v>805</v>
      </c>
      <c r="J90" s="289"/>
      <c r="K90" s="289"/>
      <c r="L90" s="289"/>
      <c r="M90" s="289"/>
      <c r="N90" s="288"/>
      <c r="O90" s="309"/>
    </row>
    <row r="91" s="63" customFormat="1" ht="24" spans="1:15">
      <c r="A91" s="53">
        <v>88</v>
      </c>
      <c r="B91" s="31" t="s">
        <v>274</v>
      </c>
      <c r="C91" s="143" t="s">
        <v>275</v>
      </c>
      <c r="D91" s="143" t="s">
        <v>276</v>
      </c>
      <c r="E91" s="31" t="s">
        <v>62</v>
      </c>
      <c r="F91" s="197">
        <v>20</v>
      </c>
      <c r="G91" s="288">
        <v>1200</v>
      </c>
      <c r="H91" s="289">
        <f t="shared" si="2"/>
        <v>24000</v>
      </c>
      <c r="I91" s="289">
        <v>840</v>
      </c>
      <c r="J91" s="289"/>
      <c r="K91" s="289"/>
      <c r="L91" s="289"/>
      <c r="M91" s="289"/>
      <c r="N91" s="288"/>
      <c r="O91" s="166"/>
    </row>
    <row r="92" s="63" customFormat="1" ht="24" spans="1:15">
      <c r="A92" s="53">
        <v>89</v>
      </c>
      <c r="B92" s="197" t="s">
        <v>277</v>
      </c>
      <c r="C92" s="143" t="s">
        <v>278</v>
      </c>
      <c r="D92" s="305" t="s">
        <v>263</v>
      </c>
      <c r="E92" s="43" t="s">
        <v>62</v>
      </c>
      <c r="F92" s="197">
        <v>20</v>
      </c>
      <c r="G92" s="288">
        <f>50+200+100+200+250+400+300</f>
        <v>1500</v>
      </c>
      <c r="H92" s="289">
        <f t="shared" si="2"/>
        <v>30000</v>
      </c>
      <c r="I92" s="289">
        <v>1050</v>
      </c>
      <c r="J92" s="289"/>
      <c r="K92" s="289"/>
      <c r="L92" s="289"/>
      <c r="M92" s="289"/>
      <c r="N92" s="288"/>
      <c r="O92" s="237"/>
    </row>
    <row r="93" s="63" customFormat="1" ht="24" spans="1:15">
      <c r="A93" s="53">
        <v>90</v>
      </c>
      <c r="B93" s="197" t="s">
        <v>279</v>
      </c>
      <c r="C93" s="143" t="s">
        <v>280</v>
      </c>
      <c r="D93" s="143" t="s">
        <v>268</v>
      </c>
      <c r="E93" s="31" t="s">
        <v>62</v>
      </c>
      <c r="F93" s="197">
        <v>20</v>
      </c>
      <c r="G93" s="288">
        <f>50+200+100+200+200+250</f>
        <v>1000</v>
      </c>
      <c r="H93" s="289">
        <f t="shared" si="2"/>
        <v>20000</v>
      </c>
      <c r="I93" s="289">
        <v>700</v>
      </c>
      <c r="J93" s="289"/>
      <c r="K93" s="289"/>
      <c r="L93" s="289"/>
      <c r="M93" s="289"/>
      <c r="N93" s="288"/>
      <c r="O93" s="53"/>
    </row>
    <row r="94" s="63" customFormat="1" ht="24" spans="1:15">
      <c r="A94" s="53">
        <v>91</v>
      </c>
      <c r="B94" s="197" t="s">
        <v>281</v>
      </c>
      <c r="C94" s="143" t="s">
        <v>282</v>
      </c>
      <c r="D94" s="305" t="s">
        <v>283</v>
      </c>
      <c r="E94" s="31" t="s">
        <v>62</v>
      </c>
      <c r="F94" s="197">
        <v>5</v>
      </c>
      <c r="G94" s="288">
        <v>2000</v>
      </c>
      <c r="H94" s="289">
        <f t="shared" si="2"/>
        <v>10000</v>
      </c>
      <c r="I94" s="289">
        <v>1400</v>
      </c>
      <c r="J94" s="289"/>
      <c r="K94" s="289"/>
      <c r="L94" s="289"/>
      <c r="M94" s="289"/>
      <c r="N94" s="288"/>
      <c r="O94" s="166"/>
    </row>
    <row r="95" s="63" customFormat="1" ht="24.75" spans="1:15">
      <c r="A95" s="53">
        <v>92</v>
      </c>
      <c r="B95" s="31" t="s">
        <v>284</v>
      </c>
      <c r="C95" s="143" t="s">
        <v>285</v>
      </c>
      <c r="D95" s="305" t="s">
        <v>286</v>
      </c>
      <c r="E95" s="31" t="s">
        <v>62</v>
      </c>
      <c r="F95" s="197">
        <v>10</v>
      </c>
      <c r="G95" s="288">
        <f>50+100+200+200+400+400+300</f>
        <v>1650</v>
      </c>
      <c r="H95" s="289">
        <f t="shared" si="2"/>
        <v>16500</v>
      </c>
      <c r="I95" s="289">
        <v>1155</v>
      </c>
      <c r="J95" s="289"/>
      <c r="K95" s="289"/>
      <c r="L95" s="289"/>
      <c r="M95" s="289"/>
      <c r="N95" s="288"/>
      <c r="O95" s="166"/>
    </row>
    <row r="96" s="63" customFormat="1" ht="24" spans="1:15">
      <c r="A96" s="53">
        <v>93</v>
      </c>
      <c r="B96" s="31" t="s">
        <v>287</v>
      </c>
      <c r="C96" s="143" t="s">
        <v>288</v>
      </c>
      <c r="D96" s="305" t="s">
        <v>286</v>
      </c>
      <c r="E96" s="31" t="s">
        <v>62</v>
      </c>
      <c r="F96" s="197">
        <v>3</v>
      </c>
      <c r="G96" s="288">
        <f>50+100+200+300+400+400</f>
        <v>1450</v>
      </c>
      <c r="H96" s="289">
        <f t="shared" si="2"/>
        <v>4350</v>
      </c>
      <c r="I96" s="289">
        <v>1015</v>
      </c>
      <c r="J96" s="289"/>
      <c r="K96" s="289"/>
      <c r="L96" s="289"/>
      <c r="M96" s="289"/>
      <c r="N96" s="288"/>
      <c r="O96" s="166"/>
    </row>
    <row r="97" s="63" customFormat="1" ht="25.5" spans="1:15">
      <c r="A97" s="53">
        <v>94</v>
      </c>
      <c r="B97" s="31" t="s">
        <v>289</v>
      </c>
      <c r="C97" s="305" t="s">
        <v>290</v>
      </c>
      <c r="D97" s="143" t="s">
        <v>291</v>
      </c>
      <c r="E97" s="31" t="s">
        <v>62</v>
      </c>
      <c r="F97" s="197">
        <v>20</v>
      </c>
      <c r="G97" s="288">
        <v>450</v>
      </c>
      <c r="H97" s="289">
        <f t="shared" si="2"/>
        <v>9000</v>
      </c>
      <c r="I97" s="289">
        <v>315</v>
      </c>
      <c r="J97" s="289"/>
      <c r="K97" s="289"/>
      <c r="L97" s="289"/>
      <c r="M97" s="289"/>
      <c r="N97" s="288"/>
      <c r="O97" s="166"/>
    </row>
    <row r="98" s="287" customFormat="1" ht="50.25" spans="1:15">
      <c r="A98" s="166">
        <v>95</v>
      </c>
      <c r="B98" s="31" t="s">
        <v>292</v>
      </c>
      <c r="C98" s="143" t="s">
        <v>293</v>
      </c>
      <c r="D98" s="143" t="s">
        <v>294</v>
      </c>
      <c r="E98" s="31" t="s">
        <v>62</v>
      </c>
      <c r="F98" s="197">
        <v>3</v>
      </c>
      <c r="G98" s="31">
        <v>2000</v>
      </c>
      <c r="H98" s="307">
        <f t="shared" si="2"/>
        <v>6000</v>
      </c>
      <c r="I98" s="307">
        <v>1400</v>
      </c>
      <c r="J98" s="307"/>
      <c r="K98" s="307"/>
      <c r="L98" s="307"/>
      <c r="M98" s="307"/>
      <c r="N98" s="31"/>
      <c r="O98" s="166"/>
    </row>
    <row r="99" s="287" customFormat="1" ht="48" spans="1:15">
      <c r="A99" s="166">
        <v>96</v>
      </c>
      <c r="B99" s="31" t="s">
        <v>295</v>
      </c>
      <c r="C99" s="143" t="s">
        <v>296</v>
      </c>
      <c r="D99" s="143" t="s">
        <v>297</v>
      </c>
      <c r="E99" s="31" t="s">
        <v>62</v>
      </c>
      <c r="F99" s="197">
        <v>2</v>
      </c>
      <c r="G99" s="31">
        <v>2000</v>
      </c>
      <c r="H99" s="307">
        <f t="shared" si="2"/>
        <v>4000</v>
      </c>
      <c r="I99" s="307">
        <v>1400</v>
      </c>
      <c r="J99" s="307"/>
      <c r="K99" s="307"/>
      <c r="L99" s="307"/>
      <c r="M99" s="307"/>
      <c r="N99" s="31"/>
      <c r="O99" s="166"/>
    </row>
    <row r="100" s="63" customFormat="1" ht="24" spans="1:15">
      <c r="A100" s="53">
        <v>97</v>
      </c>
      <c r="B100" s="31" t="s">
        <v>298</v>
      </c>
      <c r="C100" s="305" t="s">
        <v>299</v>
      </c>
      <c r="D100" s="143" t="s">
        <v>263</v>
      </c>
      <c r="E100" s="31" t="s">
        <v>62</v>
      </c>
      <c r="F100" s="197">
        <v>2</v>
      </c>
      <c r="G100" s="288">
        <f>50+100+400+300+300+400</f>
        <v>1550</v>
      </c>
      <c r="H100" s="289">
        <f t="shared" si="2"/>
        <v>3100</v>
      </c>
      <c r="I100" s="289">
        <v>1085</v>
      </c>
      <c r="J100" s="289"/>
      <c r="K100" s="289"/>
      <c r="L100" s="289"/>
      <c r="M100" s="289"/>
      <c r="N100" s="288"/>
      <c r="O100" s="166"/>
    </row>
    <row r="101" s="63" customFormat="1" ht="36" spans="1:15">
      <c r="A101" s="53">
        <v>98</v>
      </c>
      <c r="B101" s="31" t="s">
        <v>300</v>
      </c>
      <c r="C101" s="305" t="s">
        <v>301</v>
      </c>
      <c r="D101" s="143" t="s">
        <v>302</v>
      </c>
      <c r="E101" s="31" t="s">
        <v>62</v>
      </c>
      <c r="F101" s="197">
        <v>20</v>
      </c>
      <c r="G101" s="288">
        <v>1750</v>
      </c>
      <c r="H101" s="289">
        <f t="shared" ref="H101:H129" si="3">G101*F101</f>
        <v>35000</v>
      </c>
      <c r="I101" s="289">
        <v>1225</v>
      </c>
      <c r="J101" s="289"/>
      <c r="K101" s="289"/>
      <c r="L101" s="289"/>
      <c r="M101" s="289"/>
      <c r="N101" s="288"/>
      <c r="O101" s="166"/>
    </row>
    <row r="102" s="63" customFormat="1" ht="25.5" spans="1:15">
      <c r="A102" s="53">
        <v>99</v>
      </c>
      <c r="B102" s="31" t="s">
        <v>303</v>
      </c>
      <c r="C102" s="305" t="s">
        <v>304</v>
      </c>
      <c r="D102" s="143" t="s">
        <v>305</v>
      </c>
      <c r="E102" s="31" t="s">
        <v>62</v>
      </c>
      <c r="F102" s="197">
        <v>20</v>
      </c>
      <c r="G102" s="288">
        <v>1250</v>
      </c>
      <c r="H102" s="289">
        <f t="shared" si="3"/>
        <v>25000</v>
      </c>
      <c r="I102" s="289">
        <v>875</v>
      </c>
      <c r="J102" s="289"/>
      <c r="K102" s="289"/>
      <c r="L102" s="289"/>
      <c r="M102" s="289"/>
      <c r="N102" s="288"/>
      <c r="O102" s="166"/>
    </row>
    <row r="103" s="63" customFormat="1" ht="24" spans="1:15">
      <c r="A103" s="53">
        <v>100</v>
      </c>
      <c r="B103" s="31" t="s">
        <v>306</v>
      </c>
      <c r="C103" s="305" t="s">
        <v>307</v>
      </c>
      <c r="D103" s="143" t="s">
        <v>263</v>
      </c>
      <c r="E103" s="31" t="s">
        <v>62</v>
      </c>
      <c r="F103" s="197">
        <v>5</v>
      </c>
      <c r="G103" s="288">
        <f>50+100+300+300+400+400+200</f>
        <v>1750</v>
      </c>
      <c r="H103" s="289">
        <f t="shared" si="3"/>
        <v>8750</v>
      </c>
      <c r="I103" s="289">
        <v>1225</v>
      </c>
      <c r="J103" s="289"/>
      <c r="K103" s="289"/>
      <c r="L103" s="289"/>
      <c r="M103" s="289"/>
      <c r="N103" s="288"/>
      <c r="O103" s="166"/>
    </row>
    <row r="104" s="63" customFormat="1" ht="24" spans="1:15">
      <c r="A104" s="53">
        <v>101</v>
      </c>
      <c r="B104" s="31" t="s">
        <v>308</v>
      </c>
      <c r="C104" s="305" t="s">
        <v>309</v>
      </c>
      <c r="D104" s="143" t="s">
        <v>310</v>
      </c>
      <c r="E104" s="31" t="s">
        <v>62</v>
      </c>
      <c r="F104" s="197">
        <v>3</v>
      </c>
      <c r="G104" s="288">
        <v>1850</v>
      </c>
      <c r="H104" s="289">
        <f t="shared" si="3"/>
        <v>5550</v>
      </c>
      <c r="I104" s="289">
        <v>1295</v>
      </c>
      <c r="J104" s="289"/>
      <c r="K104" s="289"/>
      <c r="L104" s="289"/>
      <c r="M104" s="289"/>
      <c r="N104" s="288"/>
      <c r="O104" s="166"/>
    </row>
    <row r="105" s="63" customFormat="1" ht="60" spans="1:15">
      <c r="A105" s="53">
        <v>102</v>
      </c>
      <c r="B105" s="31" t="s">
        <v>311</v>
      </c>
      <c r="C105" s="305" t="s">
        <v>312</v>
      </c>
      <c r="D105" s="143" t="s">
        <v>313</v>
      </c>
      <c r="E105" s="31" t="s">
        <v>62</v>
      </c>
      <c r="F105" s="197">
        <v>30</v>
      </c>
      <c r="G105" s="288">
        <v>1230</v>
      </c>
      <c r="H105" s="289">
        <f t="shared" si="3"/>
        <v>36900</v>
      </c>
      <c r="I105" s="289">
        <v>861</v>
      </c>
      <c r="J105" s="289"/>
      <c r="K105" s="289"/>
      <c r="L105" s="289"/>
      <c r="M105" s="289"/>
      <c r="N105" s="288"/>
      <c r="O105" s="166"/>
    </row>
    <row r="106" s="63" customFormat="1" ht="60" spans="1:15">
      <c r="A106" s="53">
        <v>103</v>
      </c>
      <c r="B106" s="31" t="s">
        <v>314</v>
      </c>
      <c r="C106" s="305" t="s">
        <v>315</v>
      </c>
      <c r="D106" s="143" t="s">
        <v>316</v>
      </c>
      <c r="E106" s="31" t="s">
        <v>62</v>
      </c>
      <c r="F106" s="197">
        <v>5</v>
      </c>
      <c r="G106" s="288">
        <v>2250</v>
      </c>
      <c r="H106" s="289">
        <f t="shared" si="3"/>
        <v>11250</v>
      </c>
      <c r="I106" s="289">
        <v>1575</v>
      </c>
      <c r="J106" s="289"/>
      <c r="K106" s="289"/>
      <c r="L106" s="289"/>
      <c r="M106" s="289"/>
      <c r="N106" s="288"/>
      <c r="O106" s="166"/>
    </row>
    <row r="107" s="63" customFormat="1" ht="48" spans="1:15">
      <c r="A107" s="53">
        <v>104</v>
      </c>
      <c r="B107" s="31" t="s">
        <v>317</v>
      </c>
      <c r="C107" s="305" t="s">
        <v>318</v>
      </c>
      <c r="D107" s="143" t="s">
        <v>316</v>
      </c>
      <c r="E107" s="31" t="s">
        <v>62</v>
      </c>
      <c r="F107" s="197">
        <v>5</v>
      </c>
      <c r="G107" s="288">
        <v>2250</v>
      </c>
      <c r="H107" s="289">
        <f t="shared" si="3"/>
        <v>11250</v>
      </c>
      <c r="I107" s="289">
        <v>1575</v>
      </c>
      <c r="J107" s="289"/>
      <c r="K107" s="289"/>
      <c r="L107" s="289"/>
      <c r="M107" s="289"/>
      <c r="N107" s="288"/>
      <c r="O107" s="166"/>
    </row>
    <row r="108" s="63" customFormat="1" ht="36" spans="1:15">
      <c r="A108" s="53">
        <v>105</v>
      </c>
      <c r="B108" s="31" t="s">
        <v>319</v>
      </c>
      <c r="C108" s="305" t="s">
        <v>320</v>
      </c>
      <c r="D108" s="143" t="s">
        <v>321</v>
      </c>
      <c r="E108" s="31" t="s">
        <v>62</v>
      </c>
      <c r="F108" s="197">
        <v>5</v>
      </c>
      <c r="G108" s="288">
        <f>50+100+100+300+300+300+200+500</f>
        <v>1850</v>
      </c>
      <c r="H108" s="289">
        <f t="shared" si="3"/>
        <v>9250</v>
      </c>
      <c r="I108" s="289">
        <v>1295</v>
      </c>
      <c r="J108" s="289"/>
      <c r="K108" s="289"/>
      <c r="L108" s="289"/>
      <c r="M108" s="289"/>
      <c r="N108" s="288"/>
      <c r="O108" s="166"/>
    </row>
    <row r="109" s="63" customFormat="1" ht="48" spans="1:15">
      <c r="A109" s="53">
        <v>106</v>
      </c>
      <c r="B109" s="31" t="s">
        <v>322</v>
      </c>
      <c r="C109" s="305" t="s">
        <v>323</v>
      </c>
      <c r="D109" s="143" t="s">
        <v>324</v>
      </c>
      <c r="E109" s="31" t="s">
        <v>62</v>
      </c>
      <c r="F109" s="197">
        <v>10</v>
      </c>
      <c r="G109" s="288">
        <v>1200</v>
      </c>
      <c r="H109" s="289">
        <f t="shared" si="3"/>
        <v>12000</v>
      </c>
      <c r="I109" s="289">
        <v>840</v>
      </c>
      <c r="J109" s="289"/>
      <c r="K109" s="289"/>
      <c r="L109" s="289"/>
      <c r="M109" s="289"/>
      <c r="N109" s="288"/>
      <c r="O109" s="166"/>
    </row>
    <row r="110" s="63" customFormat="1" ht="48" spans="1:15">
      <c r="A110" s="53">
        <v>107</v>
      </c>
      <c r="B110" s="31" t="s">
        <v>325</v>
      </c>
      <c r="C110" s="305" t="s">
        <v>326</v>
      </c>
      <c r="D110" s="143" t="s">
        <v>324</v>
      </c>
      <c r="E110" s="31" t="s">
        <v>62</v>
      </c>
      <c r="F110" s="197">
        <v>10</v>
      </c>
      <c r="G110" s="288">
        <v>1280</v>
      </c>
      <c r="H110" s="289">
        <f t="shared" si="3"/>
        <v>12800</v>
      </c>
      <c r="I110" s="289">
        <v>896</v>
      </c>
      <c r="J110" s="289"/>
      <c r="K110" s="289"/>
      <c r="L110" s="289"/>
      <c r="M110" s="289"/>
      <c r="N110" s="288"/>
      <c r="O110" s="166"/>
    </row>
    <row r="111" s="63" customFormat="1" ht="60" spans="1:15">
      <c r="A111" s="53">
        <v>108</v>
      </c>
      <c r="B111" s="31" t="s">
        <v>327</v>
      </c>
      <c r="C111" s="305" t="s">
        <v>328</v>
      </c>
      <c r="D111" s="143" t="s">
        <v>329</v>
      </c>
      <c r="E111" s="31" t="s">
        <v>62</v>
      </c>
      <c r="F111" s="197">
        <v>3</v>
      </c>
      <c r="G111" s="288">
        <v>2600</v>
      </c>
      <c r="H111" s="289">
        <f t="shared" si="3"/>
        <v>7800</v>
      </c>
      <c r="I111" s="289">
        <v>1820</v>
      </c>
      <c r="J111" s="289"/>
      <c r="K111" s="289"/>
      <c r="L111" s="289"/>
      <c r="M111" s="289"/>
      <c r="N111" s="288"/>
      <c r="O111" s="166"/>
    </row>
    <row r="112" s="63" customFormat="1" ht="24" spans="1:15">
      <c r="A112" s="53">
        <v>109</v>
      </c>
      <c r="B112" s="31" t="s">
        <v>330</v>
      </c>
      <c r="C112" s="305" t="s">
        <v>331</v>
      </c>
      <c r="D112" s="143" t="s">
        <v>332</v>
      </c>
      <c r="E112" s="31" t="s">
        <v>62</v>
      </c>
      <c r="F112" s="197">
        <v>3</v>
      </c>
      <c r="G112" s="288">
        <f>400+300+200+100</f>
        <v>1000</v>
      </c>
      <c r="H112" s="289">
        <f t="shared" si="3"/>
        <v>3000</v>
      </c>
      <c r="I112" s="289">
        <v>700</v>
      </c>
      <c r="J112" s="289"/>
      <c r="K112" s="289"/>
      <c r="L112" s="289"/>
      <c r="M112" s="289"/>
      <c r="N112" s="288"/>
      <c r="O112" s="166"/>
    </row>
    <row r="113" s="63" customFormat="1" ht="36" spans="1:15">
      <c r="A113" s="53">
        <v>110</v>
      </c>
      <c r="B113" s="31" t="s">
        <v>333</v>
      </c>
      <c r="C113" s="305" t="s">
        <v>334</v>
      </c>
      <c r="D113" s="143" t="s">
        <v>335</v>
      </c>
      <c r="E113" s="31" t="s">
        <v>62</v>
      </c>
      <c r="F113" s="197">
        <v>3</v>
      </c>
      <c r="G113" s="288">
        <f>400+400+300+300+400+400+100</f>
        <v>2300</v>
      </c>
      <c r="H113" s="289">
        <f t="shared" si="3"/>
        <v>6900</v>
      </c>
      <c r="I113" s="289">
        <v>1610</v>
      </c>
      <c r="J113" s="289"/>
      <c r="K113" s="289"/>
      <c r="L113" s="289"/>
      <c r="M113" s="289"/>
      <c r="N113" s="288"/>
      <c r="O113" s="166"/>
    </row>
    <row r="114" s="63" customFormat="1" ht="36" spans="1:15">
      <c r="A114" s="53">
        <v>111</v>
      </c>
      <c r="B114" s="31" t="s">
        <v>336</v>
      </c>
      <c r="C114" s="143" t="s">
        <v>337</v>
      </c>
      <c r="D114" s="143" t="s">
        <v>338</v>
      </c>
      <c r="E114" s="84" t="s">
        <v>62</v>
      </c>
      <c r="F114" s="197">
        <v>3</v>
      </c>
      <c r="G114" s="288">
        <f>100+400+300+600+800</f>
        <v>2200</v>
      </c>
      <c r="H114" s="289">
        <f t="shared" si="3"/>
        <v>6600</v>
      </c>
      <c r="I114" s="289">
        <v>1540</v>
      </c>
      <c r="J114" s="289"/>
      <c r="K114" s="289"/>
      <c r="L114" s="289"/>
      <c r="M114" s="289"/>
      <c r="N114" s="288"/>
      <c r="O114" s="197"/>
    </row>
    <row r="115" s="63" customFormat="1" ht="36" spans="1:15">
      <c r="A115" s="53">
        <v>112</v>
      </c>
      <c r="B115" s="31" t="s">
        <v>339</v>
      </c>
      <c r="C115" s="305" t="s">
        <v>340</v>
      </c>
      <c r="D115" s="143" t="s">
        <v>341</v>
      </c>
      <c r="E115" s="31" t="s">
        <v>62</v>
      </c>
      <c r="F115" s="197">
        <v>5</v>
      </c>
      <c r="G115" s="288">
        <f>100+500+800+800</f>
        <v>2200</v>
      </c>
      <c r="H115" s="289">
        <f t="shared" si="3"/>
        <v>11000</v>
      </c>
      <c r="I115" s="289">
        <v>1540</v>
      </c>
      <c r="J115" s="289"/>
      <c r="K115" s="289"/>
      <c r="L115" s="289"/>
      <c r="M115" s="289"/>
      <c r="N115" s="288"/>
      <c r="O115" s="166"/>
    </row>
    <row r="116" s="63" customFormat="1" ht="36" spans="1:15">
      <c r="A116" s="53">
        <v>113</v>
      </c>
      <c r="B116" s="31" t="s">
        <v>342</v>
      </c>
      <c r="C116" s="305" t="s">
        <v>343</v>
      </c>
      <c r="D116" s="143" t="s">
        <v>344</v>
      </c>
      <c r="E116" s="31" t="s">
        <v>62</v>
      </c>
      <c r="F116" s="197">
        <v>3</v>
      </c>
      <c r="G116" s="288">
        <f>300+500+300+200+200+800+500</f>
        <v>2800</v>
      </c>
      <c r="H116" s="289">
        <f t="shared" si="3"/>
        <v>8400</v>
      </c>
      <c r="I116" s="289">
        <v>1960</v>
      </c>
      <c r="J116" s="289"/>
      <c r="K116" s="289"/>
      <c r="L116" s="289"/>
      <c r="M116" s="289"/>
      <c r="N116" s="288"/>
      <c r="O116" s="166"/>
    </row>
    <row r="117" s="287" customFormat="1" ht="12.75" spans="1:15">
      <c r="A117" s="166">
        <v>114</v>
      </c>
      <c r="B117" s="31" t="s">
        <v>345</v>
      </c>
      <c r="C117" s="143" t="s">
        <v>346</v>
      </c>
      <c r="D117" s="143" t="s">
        <v>347</v>
      </c>
      <c r="E117" s="31" t="s">
        <v>62</v>
      </c>
      <c r="F117" s="197">
        <v>1</v>
      </c>
      <c r="G117" s="31">
        <v>2000</v>
      </c>
      <c r="H117" s="289">
        <f t="shared" si="3"/>
        <v>2000</v>
      </c>
      <c r="I117" s="289">
        <v>1400</v>
      </c>
      <c r="J117" s="289"/>
      <c r="K117" s="289"/>
      <c r="L117" s="289"/>
      <c r="M117" s="289"/>
      <c r="N117" s="31"/>
      <c r="O117" s="166"/>
    </row>
    <row r="118" s="63" customFormat="1" ht="84" spans="1:15">
      <c r="A118" s="53">
        <v>115</v>
      </c>
      <c r="B118" s="31" t="s">
        <v>348</v>
      </c>
      <c r="C118" s="305" t="s">
        <v>349</v>
      </c>
      <c r="D118" s="143" t="s">
        <v>350</v>
      </c>
      <c r="E118" s="31" t="s">
        <v>62</v>
      </c>
      <c r="F118" s="197">
        <v>1</v>
      </c>
      <c r="G118" s="288">
        <f>1000+1000+1200+1200+1200+1000+1000+1000+1000+500</f>
        <v>10100</v>
      </c>
      <c r="H118" s="289">
        <f t="shared" si="3"/>
        <v>10100</v>
      </c>
      <c r="I118" s="289">
        <v>7070</v>
      </c>
      <c r="J118" s="289"/>
      <c r="K118" s="289"/>
      <c r="L118" s="289"/>
      <c r="M118" s="289"/>
      <c r="N118" s="288"/>
      <c r="O118" s="166"/>
    </row>
    <row r="119" s="63" customFormat="1" ht="24" spans="1:15">
      <c r="A119" s="53">
        <v>116</v>
      </c>
      <c r="B119" s="31" t="s">
        <v>351</v>
      </c>
      <c r="C119" s="305" t="s">
        <v>352</v>
      </c>
      <c r="D119" s="143" t="s">
        <v>353</v>
      </c>
      <c r="E119" s="31" t="s">
        <v>62</v>
      </c>
      <c r="F119" s="197">
        <v>1</v>
      </c>
      <c r="G119" s="288">
        <f>1000+1000+1000</f>
        <v>3000</v>
      </c>
      <c r="H119" s="289">
        <f t="shared" si="3"/>
        <v>3000</v>
      </c>
      <c r="I119" s="289">
        <v>2100</v>
      </c>
      <c r="J119" s="289"/>
      <c r="K119" s="289"/>
      <c r="L119" s="289"/>
      <c r="M119" s="289"/>
      <c r="N119" s="288"/>
      <c r="O119" s="166"/>
    </row>
    <row r="120" s="63" customFormat="1" ht="12.75" spans="1:15">
      <c r="A120" s="53">
        <v>117</v>
      </c>
      <c r="B120" s="31" t="s">
        <v>354</v>
      </c>
      <c r="C120" s="305" t="s">
        <v>355</v>
      </c>
      <c r="D120" s="143" t="s">
        <v>356</v>
      </c>
      <c r="E120" s="31" t="s">
        <v>62</v>
      </c>
      <c r="F120" s="197">
        <v>1</v>
      </c>
      <c r="G120" s="288">
        <f>400+1000</f>
        <v>1400</v>
      </c>
      <c r="H120" s="289">
        <f t="shared" si="3"/>
        <v>1400</v>
      </c>
      <c r="I120" s="289">
        <v>980</v>
      </c>
      <c r="J120" s="289"/>
      <c r="K120" s="289"/>
      <c r="L120" s="289"/>
      <c r="M120" s="289"/>
      <c r="N120" s="288"/>
      <c r="O120" s="166"/>
    </row>
    <row r="121" s="63" customFormat="1" ht="12.75" spans="1:15">
      <c r="A121" s="53">
        <v>118</v>
      </c>
      <c r="B121" s="31" t="s">
        <v>357</v>
      </c>
      <c r="C121" s="305" t="s">
        <v>358</v>
      </c>
      <c r="D121" s="143" t="s">
        <v>359</v>
      </c>
      <c r="E121" s="31" t="s">
        <v>62</v>
      </c>
      <c r="F121" s="197">
        <v>1</v>
      </c>
      <c r="G121" s="288">
        <f>500+400</f>
        <v>900</v>
      </c>
      <c r="H121" s="289">
        <f t="shared" si="3"/>
        <v>900</v>
      </c>
      <c r="I121" s="289">
        <v>630</v>
      </c>
      <c r="J121" s="289"/>
      <c r="K121" s="289"/>
      <c r="L121" s="289"/>
      <c r="M121" s="289"/>
      <c r="N121" s="288"/>
      <c r="O121" s="166"/>
    </row>
    <row r="122" s="63" customFormat="1" ht="36" spans="1:15">
      <c r="A122" s="53">
        <v>119</v>
      </c>
      <c r="B122" s="31" t="s">
        <v>360</v>
      </c>
      <c r="C122" s="305" t="s">
        <v>361</v>
      </c>
      <c r="D122" s="143" t="s">
        <v>362</v>
      </c>
      <c r="E122" s="31" t="s">
        <v>62</v>
      </c>
      <c r="F122" s="197">
        <v>1</v>
      </c>
      <c r="G122" s="288">
        <f>500+1000+1000+1000</f>
        <v>3500</v>
      </c>
      <c r="H122" s="289">
        <f t="shared" si="3"/>
        <v>3500</v>
      </c>
      <c r="I122" s="289">
        <v>2450</v>
      </c>
      <c r="J122" s="289"/>
      <c r="K122" s="289"/>
      <c r="L122" s="289"/>
      <c r="M122" s="289"/>
      <c r="N122" s="288"/>
      <c r="O122" s="166"/>
    </row>
    <row r="123" s="63" customFormat="1" ht="60" spans="1:15">
      <c r="A123" s="53">
        <v>120</v>
      </c>
      <c r="B123" s="31" t="s">
        <v>363</v>
      </c>
      <c r="C123" s="143" t="s">
        <v>364</v>
      </c>
      <c r="D123" s="143" t="s">
        <v>365</v>
      </c>
      <c r="E123" s="31" t="s">
        <v>62</v>
      </c>
      <c r="F123" s="197">
        <v>10</v>
      </c>
      <c r="G123" s="288">
        <f>1000+1000+1200+1200+1200+1000+1000+1000</f>
        <v>8600</v>
      </c>
      <c r="H123" s="289">
        <f t="shared" si="3"/>
        <v>86000</v>
      </c>
      <c r="I123" s="289">
        <v>6020</v>
      </c>
      <c r="J123" s="289"/>
      <c r="K123" s="289"/>
      <c r="L123" s="289"/>
      <c r="M123" s="289"/>
      <c r="N123" s="288"/>
      <c r="O123" s="197"/>
    </row>
    <row r="124" s="63" customFormat="1" ht="36" spans="1:15">
      <c r="A124" s="53">
        <v>121</v>
      </c>
      <c r="B124" s="31" t="s">
        <v>366</v>
      </c>
      <c r="C124" s="143" t="s">
        <v>188</v>
      </c>
      <c r="D124" s="143" t="s">
        <v>367</v>
      </c>
      <c r="E124" s="31" t="s">
        <v>62</v>
      </c>
      <c r="F124" s="197">
        <v>10</v>
      </c>
      <c r="G124" s="288">
        <v>1200</v>
      </c>
      <c r="H124" s="289">
        <f t="shared" si="3"/>
        <v>12000</v>
      </c>
      <c r="I124" s="289">
        <v>840</v>
      </c>
      <c r="J124" s="289"/>
      <c r="K124" s="289"/>
      <c r="L124" s="289"/>
      <c r="M124" s="289"/>
      <c r="N124" s="288"/>
      <c r="O124" s="197"/>
    </row>
    <row r="125" s="63" customFormat="1" ht="12.75" spans="1:15">
      <c r="A125" s="53">
        <v>122</v>
      </c>
      <c r="B125" s="31" t="s">
        <v>368</v>
      </c>
      <c r="C125" s="143" t="s">
        <v>369</v>
      </c>
      <c r="D125" s="143" t="s">
        <v>370</v>
      </c>
      <c r="E125" s="31" t="s">
        <v>62</v>
      </c>
      <c r="F125" s="197">
        <v>10</v>
      </c>
      <c r="G125" s="288">
        <v>500</v>
      </c>
      <c r="H125" s="289">
        <f t="shared" si="3"/>
        <v>5000</v>
      </c>
      <c r="I125" s="289">
        <v>350</v>
      </c>
      <c r="J125" s="289"/>
      <c r="K125" s="289"/>
      <c r="L125" s="289"/>
      <c r="M125" s="289"/>
      <c r="N125" s="288"/>
      <c r="O125" s="197"/>
    </row>
    <row r="126" s="63" customFormat="1" ht="48" spans="1:15">
      <c r="A126" s="53">
        <v>123</v>
      </c>
      <c r="B126" s="31" t="s">
        <v>371</v>
      </c>
      <c r="C126" s="143" t="s">
        <v>372</v>
      </c>
      <c r="D126" s="143" t="s">
        <v>365</v>
      </c>
      <c r="E126" s="84" t="s">
        <v>62</v>
      </c>
      <c r="F126" s="197">
        <v>10</v>
      </c>
      <c r="G126" s="288">
        <f>1000+1000+1000+1300</f>
        <v>4300</v>
      </c>
      <c r="H126" s="289">
        <f t="shared" si="3"/>
        <v>43000</v>
      </c>
      <c r="I126" s="289">
        <v>3010</v>
      </c>
      <c r="J126" s="289"/>
      <c r="K126" s="289"/>
      <c r="L126" s="289"/>
      <c r="M126" s="289"/>
      <c r="N126" s="288"/>
      <c r="O126" s="143"/>
    </row>
    <row r="127" s="63" customFormat="1" ht="36" spans="1:15">
      <c r="A127" s="53">
        <v>124</v>
      </c>
      <c r="B127" s="31" t="s">
        <v>373</v>
      </c>
      <c r="C127" s="143" t="s">
        <v>374</v>
      </c>
      <c r="D127" s="143" t="s">
        <v>375</v>
      </c>
      <c r="E127" s="31" t="s">
        <v>209</v>
      </c>
      <c r="F127" s="197">
        <v>10</v>
      </c>
      <c r="G127" s="288">
        <f>600+600+150+300+900+750+750+750+150</f>
        <v>4950</v>
      </c>
      <c r="H127" s="289">
        <f t="shared" si="3"/>
        <v>49500</v>
      </c>
      <c r="I127" s="289">
        <v>3465</v>
      </c>
      <c r="J127" s="289"/>
      <c r="K127" s="289"/>
      <c r="L127" s="289"/>
      <c r="M127" s="289"/>
      <c r="N127" s="288"/>
      <c r="O127" s="155"/>
    </row>
    <row r="128" s="64" customFormat="1" ht="14.1" customHeight="1" spans="1:15">
      <c r="A128" s="53">
        <v>125</v>
      </c>
      <c r="B128" s="31" t="s">
        <v>376</v>
      </c>
      <c r="C128" s="31" t="s">
        <v>377</v>
      </c>
      <c r="D128" s="31" t="s">
        <v>378</v>
      </c>
      <c r="E128" s="31" t="s">
        <v>62</v>
      </c>
      <c r="F128" s="31">
        <v>4</v>
      </c>
      <c r="G128" s="288">
        <v>800</v>
      </c>
      <c r="H128" s="289">
        <f t="shared" si="3"/>
        <v>3200</v>
      </c>
      <c r="I128" s="289">
        <v>560</v>
      </c>
      <c r="J128" s="289"/>
      <c r="K128" s="289"/>
      <c r="L128" s="289"/>
      <c r="M128" s="289"/>
      <c r="N128" s="288"/>
      <c r="O128" s="53"/>
    </row>
    <row r="129" s="64" customFormat="1" ht="15" customHeight="1" spans="1:15">
      <c r="A129" s="53">
        <v>126</v>
      </c>
      <c r="B129" s="84" t="s">
        <v>379</v>
      </c>
      <c r="C129" s="31" t="s">
        <v>380</v>
      </c>
      <c r="D129" s="31" t="s">
        <v>381</v>
      </c>
      <c r="E129" s="84" t="s">
        <v>62</v>
      </c>
      <c r="F129" s="31">
        <v>2</v>
      </c>
      <c r="G129" s="288">
        <f>900+500+200</f>
        <v>1600</v>
      </c>
      <c r="H129" s="289">
        <f t="shared" si="3"/>
        <v>3200</v>
      </c>
      <c r="I129" s="289">
        <v>1120</v>
      </c>
      <c r="J129" s="289"/>
      <c r="K129" s="289"/>
      <c r="L129" s="289"/>
      <c r="M129" s="289"/>
      <c r="N129" s="288"/>
      <c r="O129" s="53"/>
    </row>
    <row r="130" s="64" customFormat="1" ht="36" spans="1:15">
      <c r="A130" s="53">
        <v>127</v>
      </c>
      <c r="B130" s="31" t="s">
        <v>382</v>
      </c>
      <c r="C130" s="31" t="s">
        <v>383</v>
      </c>
      <c r="D130" s="31" t="s">
        <v>384</v>
      </c>
      <c r="E130" s="84" t="s">
        <v>62</v>
      </c>
      <c r="F130" s="31">
        <v>3</v>
      </c>
      <c r="G130" s="300"/>
      <c r="H130" s="310"/>
      <c r="I130" s="310">
        <v>1120</v>
      </c>
      <c r="J130" s="310"/>
      <c r="K130" s="310"/>
      <c r="L130" s="310"/>
      <c r="M130" s="310"/>
      <c r="N130" s="300"/>
      <c r="O130" s="53"/>
    </row>
    <row r="131" s="63" customFormat="1" ht="29.1" customHeight="1" spans="1:15">
      <c r="A131" s="95" t="s">
        <v>385</v>
      </c>
      <c r="B131" s="96"/>
      <c r="C131" s="96"/>
      <c r="D131" s="96"/>
      <c r="E131" s="96"/>
      <c r="F131" s="96"/>
      <c r="G131" s="97"/>
      <c r="H131" s="99">
        <f>SUM(H4:H129)</f>
        <v>1944690</v>
      </c>
      <c r="I131" s="289"/>
      <c r="J131" s="99">
        <f>SUM(J4:J130)</f>
        <v>0</v>
      </c>
      <c r="K131" s="99"/>
      <c r="L131" s="99"/>
      <c r="M131" s="99"/>
      <c r="N131" s="215"/>
      <c r="O131" s="215"/>
    </row>
  </sheetData>
  <autoFilter xmlns:etc="http://www.wps.cn/officeDocument/2017/etCustomData" ref="A3:P131" etc:filterBottomFollowUsedRange="0">
    <extLst/>
  </autoFilter>
  <mergeCells count="10">
    <mergeCell ref="A1:O1"/>
    <mergeCell ref="A2:O2"/>
    <mergeCell ref="A131:G131"/>
    <mergeCell ref="B10:B15"/>
    <mergeCell ref="B21:B22"/>
    <mergeCell ref="B65:B68"/>
    <mergeCell ref="B69:B71"/>
    <mergeCell ref="D65:D68"/>
    <mergeCell ref="D69:D71"/>
    <mergeCell ref="O65:O68"/>
  </mergeCells>
  <pageMargins left="0.751388888888889" right="0.751388888888889" top="1" bottom="1" header="0.5" footer="0.5"/>
  <pageSetup paperSize="9" scale="5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Q19"/>
  <sheetViews>
    <sheetView view="pageBreakPreview" zoomScaleNormal="100" workbookViewId="0">
      <pane ySplit="3" topLeftCell="A4" activePane="bottomLeft" state="frozen"/>
      <selection/>
      <selection pane="bottomLeft" activeCell="H5" sqref="H5"/>
    </sheetView>
  </sheetViews>
  <sheetFormatPr defaultColWidth="9" defaultRowHeight="13.5"/>
  <cols>
    <col min="1" max="1" width="7.375" customWidth="1"/>
    <col min="2" max="2" width="12.625" customWidth="1"/>
    <col min="3" max="3" width="14.25" customWidth="1"/>
    <col min="4" max="4" width="19.125" customWidth="1"/>
    <col min="5" max="5" width="10.5" customWidth="1"/>
    <col min="6" max="6" width="24" customWidth="1"/>
    <col min="7" max="7" width="6.125" customWidth="1"/>
    <col min="8" max="8" width="5.125" customWidth="1"/>
    <col min="9" max="9" width="11.75" hidden="1" customWidth="1"/>
    <col min="10" max="10" width="16.75" hidden="1" customWidth="1"/>
    <col min="11" max="11" width="12.75" customWidth="1"/>
    <col min="12" max="12" width="15.875" customWidth="1"/>
    <col min="13" max="13" width="13.5" customWidth="1"/>
    <col min="14" max="14" width="11.25" customWidth="1"/>
    <col min="15" max="15" width="12" customWidth="1"/>
    <col min="16" max="16" width="14.625" customWidth="1"/>
    <col min="17" max="17" width="24.5" customWidth="1"/>
  </cols>
  <sheetData>
    <row r="1" ht="24" customHeight="1" spans="1:17">
      <c r="A1" s="271" t="s">
        <v>386</v>
      </c>
      <c r="B1" s="271"/>
      <c r="C1" s="272"/>
      <c r="D1" s="272"/>
      <c r="E1" s="272"/>
      <c r="F1" s="272"/>
      <c r="G1" s="272"/>
      <c r="H1" s="272"/>
      <c r="I1" s="272"/>
      <c r="J1" s="272"/>
      <c r="K1" s="272"/>
      <c r="L1" s="272"/>
      <c r="M1" s="272"/>
      <c r="N1" s="272"/>
      <c r="O1" s="272"/>
      <c r="P1" s="283"/>
      <c r="Q1" s="272"/>
    </row>
    <row r="2" ht="24" customHeight="1" spans="1:17">
      <c r="A2" s="273" t="str">
        <f>'1、材料见证取样检测'!A2</f>
        <v>工程名称：天河区凌塘村城中村改造项目-首开区复建安置房及配套设施工程第三方检测及监测技术服务</v>
      </c>
      <c r="B2" s="273"/>
      <c r="C2" s="273"/>
      <c r="D2" s="273"/>
      <c r="E2" s="273"/>
      <c r="F2" s="273"/>
      <c r="G2" s="273"/>
      <c r="H2" s="273"/>
      <c r="I2" s="273"/>
      <c r="J2" s="273"/>
      <c r="K2" s="273"/>
      <c r="L2" s="273"/>
      <c r="M2" s="273"/>
      <c r="N2" s="273"/>
      <c r="O2" s="273"/>
      <c r="P2" s="273"/>
      <c r="Q2" s="273"/>
    </row>
    <row r="3" s="63" customFormat="1" ht="24" customHeight="1" spans="1:17">
      <c r="A3" s="274" t="s">
        <v>18</v>
      </c>
      <c r="B3" s="275"/>
      <c r="C3" s="274" t="s">
        <v>387</v>
      </c>
      <c r="D3" s="274" t="s">
        <v>19</v>
      </c>
      <c r="E3" s="274" t="s">
        <v>49</v>
      </c>
      <c r="F3" s="274" t="s">
        <v>50</v>
      </c>
      <c r="G3" s="42" t="s">
        <v>20</v>
      </c>
      <c r="H3" s="42" t="s">
        <v>51</v>
      </c>
      <c r="I3" s="10" t="s">
        <v>52</v>
      </c>
      <c r="J3" s="10" t="s">
        <v>53</v>
      </c>
      <c r="K3" s="10" t="s">
        <v>54</v>
      </c>
      <c r="L3" s="10" t="str">
        <f>'1、材料见证取样检测'!J3</f>
        <v>全费用投标综合单价（元）</v>
      </c>
      <c r="M3" s="10" t="str">
        <f>'1、材料见证取样检测'!K3</f>
        <v>投标总价
（元）</v>
      </c>
      <c r="N3" s="10" t="str">
        <f>'1、材料见证取样检测'!L3</f>
        <v>增值税
税率%</v>
      </c>
      <c r="O3" s="10" t="str">
        <f>'1、材料见证取样检测'!M3</f>
        <v>不含税投标总价（元）</v>
      </c>
      <c r="P3" s="42" t="str">
        <f>'1、材料见证取样检测'!N3</f>
        <v>税金
（元）</v>
      </c>
      <c r="Q3" s="274" t="s">
        <v>12</v>
      </c>
    </row>
    <row r="4" s="63" customFormat="1" ht="24" customHeight="1" spans="1:17">
      <c r="A4" s="275">
        <v>1</v>
      </c>
      <c r="B4" s="276" t="s">
        <v>388</v>
      </c>
      <c r="C4" s="276" t="s">
        <v>389</v>
      </c>
      <c r="D4" s="31" t="s">
        <v>390</v>
      </c>
      <c r="E4" s="31" t="s">
        <v>391</v>
      </c>
      <c r="F4" s="31" t="s">
        <v>392</v>
      </c>
      <c r="G4" s="43" t="s">
        <v>393</v>
      </c>
      <c r="H4" s="237">
        <v>821</v>
      </c>
      <c r="I4" s="55">
        <v>300</v>
      </c>
      <c r="J4" s="284">
        <f>I4*H4</f>
        <v>246300</v>
      </c>
      <c r="K4" s="284">
        <v>210</v>
      </c>
      <c r="L4" s="284"/>
      <c r="M4" s="284"/>
      <c r="N4" s="284"/>
      <c r="O4" s="284"/>
      <c r="P4" s="166"/>
      <c r="Q4" s="171"/>
    </row>
    <row r="5" s="63" customFormat="1" ht="24" customHeight="1" spans="1:17">
      <c r="A5" s="275">
        <v>2</v>
      </c>
      <c r="B5" s="277"/>
      <c r="C5" s="278"/>
      <c r="D5" s="31" t="s">
        <v>394</v>
      </c>
      <c r="E5" s="31" t="s">
        <v>395</v>
      </c>
      <c r="F5" s="31" t="s">
        <v>396</v>
      </c>
      <c r="G5" s="237" t="s">
        <v>397</v>
      </c>
      <c r="H5" s="237">
        <v>10440</v>
      </c>
      <c r="I5" s="55">
        <v>100</v>
      </c>
      <c r="J5" s="284">
        <f t="shared" ref="J5:J18" si="0">I5*H5</f>
        <v>1044000</v>
      </c>
      <c r="K5" s="284">
        <v>70</v>
      </c>
      <c r="L5" s="284"/>
      <c r="M5" s="284"/>
      <c r="N5" s="284"/>
      <c r="O5" s="284"/>
      <c r="P5" s="166"/>
      <c r="Q5" s="173"/>
    </row>
    <row r="6" s="63" customFormat="1" ht="24" customHeight="1" spans="1:17">
      <c r="A6" s="275">
        <v>3</v>
      </c>
      <c r="B6" s="277"/>
      <c r="C6" s="279"/>
      <c r="D6" s="71" t="s">
        <v>398</v>
      </c>
      <c r="E6" s="31" t="s">
        <v>395</v>
      </c>
      <c r="F6" s="31" t="s">
        <v>396</v>
      </c>
      <c r="G6" s="43" t="s">
        <v>393</v>
      </c>
      <c r="H6" s="237">
        <v>11</v>
      </c>
      <c r="I6" s="55">
        <f>6400*1.22</f>
        <v>7808</v>
      </c>
      <c r="J6" s="284">
        <f t="shared" si="0"/>
        <v>85888</v>
      </c>
      <c r="K6" s="284">
        <v>5465.6</v>
      </c>
      <c r="L6" s="284"/>
      <c r="M6" s="284"/>
      <c r="N6" s="284"/>
      <c r="O6" s="284"/>
      <c r="P6" s="166"/>
      <c r="Q6" s="195"/>
    </row>
    <row r="7" s="63" customFormat="1" ht="24" customHeight="1" spans="1:17">
      <c r="A7" s="275">
        <v>4</v>
      </c>
      <c r="B7" s="277"/>
      <c r="C7" s="274" t="s">
        <v>399</v>
      </c>
      <c r="D7" s="31" t="s">
        <v>394</v>
      </c>
      <c r="E7" s="31" t="s">
        <v>395</v>
      </c>
      <c r="F7" s="31" t="s">
        <v>400</v>
      </c>
      <c r="G7" s="237" t="s">
        <v>397</v>
      </c>
      <c r="H7" s="237">
        <v>1080</v>
      </c>
      <c r="I7" s="55">
        <f>I5</f>
        <v>100</v>
      </c>
      <c r="J7" s="284">
        <f t="shared" si="0"/>
        <v>108000</v>
      </c>
      <c r="K7" s="284">
        <v>70</v>
      </c>
      <c r="L7" s="284"/>
      <c r="M7" s="284"/>
      <c r="N7" s="284"/>
      <c r="O7" s="284"/>
      <c r="P7" s="166"/>
      <c r="Q7" s="31"/>
    </row>
    <row r="8" s="63" customFormat="1" ht="24" customHeight="1" spans="1:17">
      <c r="A8" s="275">
        <v>5</v>
      </c>
      <c r="B8" s="277"/>
      <c r="C8" s="280" t="s">
        <v>401</v>
      </c>
      <c r="D8" s="31" t="s">
        <v>402</v>
      </c>
      <c r="E8" s="31" t="s">
        <v>391</v>
      </c>
      <c r="F8" s="31" t="s">
        <v>403</v>
      </c>
      <c r="G8" s="31" t="s">
        <v>404</v>
      </c>
      <c r="H8" s="197">
        <v>1350</v>
      </c>
      <c r="I8" s="55">
        <v>30</v>
      </c>
      <c r="J8" s="284">
        <f t="shared" si="0"/>
        <v>40500</v>
      </c>
      <c r="K8" s="284">
        <v>21</v>
      </c>
      <c r="L8" s="284"/>
      <c r="M8" s="284"/>
      <c r="N8" s="284"/>
      <c r="O8" s="284"/>
      <c r="P8" s="166"/>
      <c r="Q8" s="31"/>
    </row>
    <row r="9" s="63" customFormat="1" ht="24" customHeight="1" spans="1:17">
      <c r="A9" s="275">
        <v>6</v>
      </c>
      <c r="B9" s="277"/>
      <c r="C9" s="281"/>
      <c r="D9" s="31" t="s">
        <v>405</v>
      </c>
      <c r="E9" s="31" t="s">
        <v>391</v>
      </c>
      <c r="F9" s="31" t="s">
        <v>403</v>
      </c>
      <c r="G9" s="31" t="s">
        <v>406</v>
      </c>
      <c r="H9" s="197">
        <v>60</v>
      </c>
      <c r="I9" s="55">
        <v>400</v>
      </c>
      <c r="J9" s="284">
        <f t="shared" si="0"/>
        <v>24000</v>
      </c>
      <c r="K9" s="284">
        <v>280</v>
      </c>
      <c r="L9" s="284"/>
      <c r="M9" s="284"/>
      <c r="N9" s="284"/>
      <c r="O9" s="284"/>
      <c r="P9" s="166"/>
      <c r="Q9" s="31"/>
    </row>
    <row r="10" s="63" customFormat="1" ht="24" customHeight="1" spans="1:17">
      <c r="A10" s="275">
        <v>7</v>
      </c>
      <c r="B10" s="277"/>
      <c r="C10" s="281"/>
      <c r="D10" s="31" t="s">
        <v>407</v>
      </c>
      <c r="E10" s="31" t="s">
        <v>395</v>
      </c>
      <c r="F10" s="31" t="s">
        <v>408</v>
      </c>
      <c r="G10" s="31" t="s">
        <v>393</v>
      </c>
      <c r="H10" s="197">
        <v>5</v>
      </c>
      <c r="I10" s="55">
        <v>20000</v>
      </c>
      <c r="J10" s="284">
        <f t="shared" si="0"/>
        <v>100000</v>
      </c>
      <c r="K10" s="284">
        <v>14000</v>
      </c>
      <c r="L10" s="284"/>
      <c r="M10" s="284"/>
      <c r="N10" s="284"/>
      <c r="O10" s="284"/>
      <c r="P10" s="166"/>
      <c r="Q10" s="31"/>
    </row>
    <row r="11" s="63" customFormat="1" ht="24" customHeight="1" spans="1:17">
      <c r="A11" s="275">
        <v>8</v>
      </c>
      <c r="B11" s="42" t="s">
        <v>409</v>
      </c>
      <c r="C11" s="42" t="s">
        <v>410</v>
      </c>
      <c r="D11" s="31" t="s">
        <v>390</v>
      </c>
      <c r="E11" s="31" t="s">
        <v>391</v>
      </c>
      <c r="F11" s="31" t="s">
        <v>411</v>
      </c>
      <c r="G11" s="31" t="s">
        <v>393</v>
      </c>
      <c r="H11" s="197">
        <v>3</v>
      </c>
      <c r="I11" s="55">
        <v>500</v>
      </c>
      <c r="J11" s="284">
        <f t="shared" si="0"/>
        <v>1500</v>
      </c>
      <c r="K11" s="284">
        <v>350</v>
      </c>
      <c r="L11" s="284"/>
      <c r="M11" s="284"/>
      <c r="N11" s="284"/>
      <c r="O11" s="284"/>
      <c r="P11" s="166"/>
      <c r="Q11" s="71"/>
    </row>
    <row r="12" s="63" customFormat="1" ht="24" customHeight="1" spans="1:17">
      <c r="A12" s="275">
        <v>9</v>
      </c>
      <c r="B12" s="282"/>
      <c r="C12" s="42" t="s">
        <v>412</v>
      </c>
      <c r="D12" s="31" t="s">
        <v>405</v>
      </c>
      <c r="E12" s="31" t="s">
        <v>391</v>
      </c>
      <c r="F12" s="31" t="s">
        <v>413</v>
      </c>
      <c r="G12" s="197" t="s">
        <v>414</v>
      </c>
      <c r="H12" s="197">
        <v>234</v>
      </c>
      <c r="I12" s="55">
        <v>280</v>
      </c>
      <c r="J12" s="284">
        <f t="shared" si="0"/>
        <v>65520</v>
      </c>
      <c r="K12" s="284">
        <v>196</v>
      </c>
      <c r="L12" s="284"/>
      <c r="M12" s="284"/>
      <c r="N12" s="284"/>
      <c r="O12" s="284"/>
      <c r="P12" s="166"/>
      <c r="Q12" s="71"/>
    </row>
    <row r="13" s="63" customFormat="1" ht="24" customHeight="1" spans="1:17">
      <c r="A13" s="275">
        <v>10</v>
      </c>
      <c r="B13" s="282"/>
      <c r="C13" s="42" t="s">
        <v>415</v>
      </c>
      <c r="D13" s="31" t="s">
        <v>416</v>
      </c>
      <c r="E13" s="31" t="s">
        <v>395</v>
      </c>
      <c r="F13" s="31" t="s">
        <v>417</v>
      </c>
      <c r="G13" s="31" t="s">
        <v>393</v>
      </c>
      <c r="H13" s="197">
        <v>42</v>
      </c>
      <c r="I13" s="55">
        <v>10000</v>
      </c>
      <c r="J13" s="284">
        <f t="shared" si="0"/>
        <v>420000</v>
      </c>
      <c r="K13" s="284">
        <v>7000</v>
      </c>
      <c r="L13" s="284"/>
      <c r="M13" s="284"/>
      <c r="N13" s="284"/>
      <c r="O13" s="284"/>
      <c r="P13" s="166"/>
      <c r="Q13" s="71"/>
    </row>
    <row r="14" s="63" customFormat="1" ht="24" customHeight="1" spans="1:17">
      <c r="A14" s="275">
        <v>11</v>
      </c>
      <c r="B14" s="282"/>
      <c r="C14" s="282"/>
      <c r="D14" s="31" t="s">
        <v>418</v>
      </c>
      <c r="E14" s="31" t="s">
        <v>419</v>
      </c>
      <c r="F14" s="31" t="s">
        <v>417</v>
      </c>
      <c r="G14" s="31" t="s">
        <v>393</v>
      </c>
      <c r="H14" s="197">
        <v>42</v>
      </c>
      <c r="I14" s="55">
        <v>20000</v>
      </c>
      <c r="J14" s="284">
        <f t="shared" si="0"/>
        <v>840000</v>
      </c>
      <c r="K14" s="284">
        <v>14000</v>
      </c>
      <c r="L14" s="284"/>
      <c r="M14" s="284"/>
      <c r="N14" s="284"/>
      <c r="O14" s="284"/>
      <c r="P14" s="166"/>
      <c r="Q14" s="251"/>
    </row>
    <row r="15" s="63" customFormat="1" ht="24" customHeight="1" spans="1:17">
      <c r="A15" s="275">
        <v>12</v>
      </c>
      <c r="B15" s="282"/>
      <c r="C15" s="42" t="s">
        <v>420</v>
      </c>
      <c r="D15" s="31" t="s">
        <v>421</v>
      </c>
      <c r="E15" s="31" t="s">
        <v>395</v>
      </c>
      <c r="F15" s="31" t="s">
        <v>422</v>
      </c>
      <c r="G15" s="31" t="s">
        <v>393</v>
      </c>
      <c r="H15" s="251">
        <v>10</v>
      </c>
      <c r="I15" s="55">
        <v>10000</v>
      </c>
      <c r="J15" s="284">
        <f t="shared" si="0"/>
        <v>100000</v>
      </c>
      <c r="K15" s="284">
        <v>7000</v>
      </c>
      <c r="L15" s="284"/>
      <c r="M15" s="284"/>
      <c r="N15" s="284"/>
      <c r="O15" s="284"/>
      <c r="P15" s="166"/>
      <c r="Q15" s="285"/>
    </row>
    <row r="16" s="63" customFormat="1" ht="24" customHeight="1" spans="1:17">
      <c r="A16" s="275">
        <v>13</v>
      </c>
      <c r="B16" s="282"/>
      <c r="C16" s="42" t="s">
        <v>423</v>
      </c>
      <c r="D16" s="31" t="s">
        <v>424</v>
      </c>
      <c r="E16" s="31" t="s">
        <v>425</v>
      </c>
      <c r="F16" s="31" t="s">
        <v>426</v>
      </c>
      <c r="G16" s="31" t="s">
        <v>427</v>
      </c>
      <c r="H16" s="197">
        <v>3</v>
      </c>
      <c r="I16" s="55">
        <v>20000</v>
      </c>
      <c r="J16" s="284">
        <f t="shared" si="0"/>
        <v>60000</v>
      </c>
      <c r="K16" s="284">
        <v>14000</v>
      </c>
      <c r="L16" s="284"/>
      <c r="M16" s="284"/>
      <c r="N16" s="284"/>
      <c r="O16" s="284"/>
      <c r="P16" s="166"/>
      <c r="Q16" s="251"/>
    </row>
    <row r="17" s="63" customFormat="1" ht="24" customHeight="1" spans="1:17">
      <c r="A17" s="275">
        <v>14</v>
      </c>
      <c r="B17" s="282"/>
      <c r="C17" s="42" t="s">
        <v>428</v>
      </c>
      <c r="D17" s="31" t="s">
        <v>429</v>
      </c>
      <c r="E17" s="31" t="s">
        <v>430</v>
      </c>
      <c r="F17" s="31" t="s">
        <v>431</v>
      </c>
      <c r="G17" s="31" t="s">
        <v>62</v>
      </c>
      <c r="H17" s="197">
        <v>14</v>
      </c>
      <c r="I17" s="55">
        <f>3*250</f>
        <v>750</v>
      </c>
      <c r="J17" s="284">
        <f t="shared" si="0"/>
        <v>10500</v>
      </c>
      <c r="K17" s="284">
        <v>525</v>
      </c>
      <c r="L17" s="284"/>
      <c r="M17" s="284"/>
      <c r="N17" s="284"/>
      <c r="O17" s="284"/>
      <c r="P17" s="166"/>
      <c r="Q17" s="286"/>
    </row>
    <row r="18" s="63" customFormat="1" ht="24" customHeight="1" spans="1:17">
      <c r="A18" s="275">
        <v>15</v>
      </c>
      <c r="B18" s="282"/>
      <c r="C18" s="250" t="s">
        <v>432</v>
      </c>
      <c r="D18" s="71" t="s">
        <v>433</v>
      </c>
      <c r="E18" s="31" t="s">
        <v>433</v>
      </c>
      <c r="F18" s="71" t="s">
        <v>434</v>
      </c>
      <c r="G18" s="71" t="s">
        <v>427</v>
      </c>
      <c r="H18" s="251">
        <v>120</v>
      </c>
      <c r="I18" s="55">
        <v>150</v>
      </c>
      <c r="J18" s="284">
        <f t="shared" si="0"/>
        <v>18000</v>
      </c>
      <c r="K18" s="284">
        <v>105</v>
      </c>
      <c r="L18" s="284"/>
      <c r="M18" s="284"/>
      <c r="N18" s="284"/>
      <c r="O18" s="284"/>
      <c r="P18" s="166"/>
      <c r="Q18" s="191"/>
    </row>
    <row r="19" s="63" customFormat="1" ht="24" customHeight="1" spans="1:17">
      <c r="A19" s="155" t="s">
        <v>385</v>
      </c>
      <c r="B19" s="155"/>
      <c r="C19" s="155"/>
      <c r="D19" s="155"/>
      <c r="E19" s="155"/>
      <c r="F19" s="155"/>
      <c r="G19" s="155"/>
      <c r="H19" s="155"/>
      <c r="I19" s="155"/>
      <c r="J19" s="178">
        <f>SUM(J4:J18)</f>
        <v>3164208</v>
      </c>
      <c r="K19" s="98"/>
      <c r="L19" s="178">
        <f>SUM(L4:L18)</f>
        <v>0</v>
      </c>
      <c r="M19" s="178"/>
      <c r="N19" s="178"/>
      <c r="O19" s="178"/>
      <c r="P19" s="215"/>
      <c r="Q19" s="215"/>
    </row>
  </sheetData>
  <mergeCells count="10">
    <mergeCell ref="A1:Q1"/>
    <mergeCell ref="A2:Q2"/>
    <mergeCell ref="A19:I19"/>
    <mergeCell ref="B4:B10"/>
    <mergeCell ref="B11:B18"/>
    <mergeCell ref="C4:C6"/>
    <mergeCell ref="C8:C10"/>
    <mergeCell ref="C13:C14"/>
    <mergeCell ref="Q4:Q6"/>
    <mergeCell ref="Q13:Q14"/>
  </mergeCells>
  <pageMargins left="0.75" right="0.75" top="1" bottom="1" header="0.5" footer="0.5"/>
  <pageSetup paperSize="9" scale="43"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Q15"/>
  <sheetViews>
    <sheetView view="pageBreakPreview" zoomScaleNormal="100" workbookViewId="0">
      <pane xSplit="2" ySplit="3" topLeftCell="C4" activePane="bottomRight" state="frozen"/>
      <selection/>
      <selection pane="topRight"/>
      <selection pane="bottomLeft"/>
      <selection pane="bottomRight" activeCell="C9" sqref="C9"/>
    </sheetView>
  </sheetViews>
  <sheetFormatPr defaultColWidth="9" defaultRowHeight="13.5"/>
  <cols>
    <col min="1" max="1" width="3.875" customWidth="1"/>
    <col min="2" max="2" width="8.75" customWidth="1"/>
    <col min="3" max="3" width="25" customWidth="1"/>
    <col min="4" max="4" width="27.125" customWidth="1"/>
    <col min="5" max="5" width="22" customWidth="1"/>
    <col min="6" max="6" width="5.875" customWidth="1"/>
    <col min="7" max="7" width="8.125" customWidth="1"/>
    <col min="8" max="8" width="10.375" hidden="1" customWidth="1"/>
    <col min="9" max="9" width="11.25" hidden="1" customWidth="1"/>
    <col min="10" max="10" width="13.125" customWidth="1"/>
    <col min="11" max="14" width="12.5" customWidth="1"/>
    <col min="15" max="15" width="15" customWidth="1"/>
    <col min="16" max="16" width="22.125" customWidth="1"/>
    <col min="17" max="17" width="5.625" customWidth="1"/>
  </cols>
  <sheetData>
    <row r="1" ht="24" customHeight="1" spans="1:16">
      <c r="A1" s="248" t="s">
        <v>435</v>
      </c>
      <c r="B1" s="262"/>
      <c r="C1" s="262"/>
      <c r="D1" s="263"/>
      <c r="E1" s="263"/>
      <c r="F1" s="262"/>
      <c r="G1" s="262"/>
      <c r="H1" s="262"/>
      <c r="I1" s="262"/>
      <c r="J1" s="262"/>
      <c r="K1" s="262"/>
      <c r="L1" s="262"/>
      <c r="M1" s="262"/>
      <c r="N1" s="262"/>
      <c r="O1" s="263"/>
      <c r="P1" s="262"/>
    </row>
    <row r="2" ht="33" customHeight="1" spans="1:16">
      <c r="A2" s="249" t="str">
        <f>'2、地基基础及基坑支护'!A2</f>
        <v>工程名称：天河区凌塘村城中村改造项目-首开区复建安置房及配套设施工程第三方检测及监测技术服务</v>
      </c>
      <c r="B2" s="249"/>
      <c r="C2" s="249"/>
      <c r="D2" s="249"/>
      <c r="E2" s="249"/>
      <c r="F2" s="249"/>
      <c r="G2" s="249"/>
      <c r="H2" s="249"/>
      <c r="I2" s="249"/>
      <c r="J2" s="249"/>
      <c r="K2" s="249"/>
      <c r="L2" s="249"/>
      <c r="M2" s="249"/>
      <c r="N2" s="249"/>
      <c r="O2" s="249"/>
      <c r="P2" s="249"/>
    </row>
    <row r="3" ht="24" customHeight="1" spans="1:16">
      <c r="A3" s="250" t="s">
        <v>18</v>
      </c>
      <c r="B3" s="250" t="s">
        <v>436</v>
      </c>
      <c r="C3" s="250" t="s">
        <v>437</v>
      </c>
      <c r="D3" s="250" t="s">
        <v>50</v>
      </c>
      <c r="E3" s="250" t="s">
        <v>438</v>
      </c>
      <c r="F3" s="250" t="s">
        <v>20</v>
      </c>
      <c r="G3" s="250" t="s">
        <v>51</v>
      </c>
      <c r="H3" s="10" t="s">
        <v>52</v>
      </c>
      <c r="I3" s="10" t="s">
        <v>53</v>
      </c>
      <c r="J3" s="10" t="s">
        <v>54</v>
      </c>
      <c r="K3" s="10" t="s">
        <v>55</v>
      </c>
      <c r="L3" s="10" t="s">
        <v>56</v>
      </c>
      <c r="M3" s="10" t="s">
        <v>57</v>
      </c>
      <c r="N3" s="42" t="s">
        <v>22</v>
      </c>
      <c r="O3" s="155" t="s">
        <v>11</v>
      </c>
      <c r="P3" s="250" t="s">
        <v>12</v>
      </c>
    </row>
    <row r="4" ht="60" spans="1:16">
      <c r="A4" s="251">
        <v>1</v>
      </c>
      <c r="B4" s="71" t="s">
        <v>439</v>
      </c>
      <c r="C4" s="251" t="s">
        <v>440</v>
      </c>
      <c r="D4" s="264" t="s">
        <v>441</v>
      </c>
      <c r="E4" s="264" t="s">
        <v>442</v>
      </c>
      <c r="F4" s="71" t="s">
        <v>443</v>
      </c>
      <c r="G4" s="251">
        <v>345</v>
      </c>
      <c r="H4" s="55">
        <v>500</v>
      </c>
      <c r="I4" s="257">
        <f>H4*G4</f>
        <v>172500</v>
      </c>
      <c r="J4" s="257">
        <v>350</v>
      </c>
      <c r="K4" s="257"/>
      <c r="L4" s="257"/>
      <c r="M4" s="257"/>
      <c r="N4" s="257"/>
      <c r="O4" s="84"/>
      <c r="P4" s="71"/>
    </row>
    <row r="5" ht="48.75" spans="1:16">
      <c r="A5" s="251"/>
      <c r="B5" s="71"/>
      <c r="C5" s="71" t="s">
        <v>444</v>
      </c>
      <c r="D5" s="265" t="s">
        <v>445</v>
      </c>
      <c r="E5" s="264" t="s">
        <v>446</v>
      </c>
      <c r="F5" s="251" t="s">
        <v>447</v>
      </c>
      <c r="G5" s="251">
        <v>115</v>
      </c>
      <c r="H5" s="55">
        <v>1500</v>
      </c>
      <c r="I5" s="257">
        <f t="shared" ref="I5:I14" si="0">H5*G5</f>
        <v>172500</v>
      </c>
      <c r="J5" s="257">
        <v>1050</v>
      </c>
      <c r="K5" s="257"/>
      <c r="L5" s="257"/>
      <c r="M5" s="257"/>
      <c r="N5" s="257"/>
      <c r="O5" s="84"/>
      <c r="P5" s="71"/>
    </row>
    <row r="6" ht="36" spans="1:16">
      <c r="A6" s="251"/>
      <c r="B6" s="71"/>
      <c r="C6" s="166" t="s">
        <v>448</v>
      </c>
      <c r="D6" s="266" t="s">
        <v>449</v>
      </c>
      <c r="E6" s="265" t="s">
        <v>450</v>
      </c>
      <c r="F6" s="71" t="s">
        <v>451</v>
      </c>
      <c r="G6" s="251">
        <v>10</v>
      </c>
      <c r="H6" s="55">
        <v>600</v>
      </c>
      <c r="I6" s="257">
        <f t="shared" si="0"/>
        <v>6000</v>
      </c>
      <c r="J6" s="257">
        <v>420</v>
      </c>
      <c r="K6" s="257"/>
      <c r="L6" s="257"/>
      <c r="M6" s="257"/>
      <c r="N6" s="257"/>
      <c r="O6" s="84"/>
      <c r="P6" s="268"/>
    </row>
    <row r="7" spans="1:17">
      <c r="A7" s="251"/>
      <c r="B7" s="71"/>
      <c r="C7" s="251" t="s">
        <v>452</v>
      </c>
      <c r="D7" s="264" t="s">
        <v>453</v>
      </c>
      <c r="E7" s="265" t="s">
        <v>454</v>
      </c>
      <c r="F7" s="251" t="s">
        <v>455</v>
      </c>
      <c r="G7" s="251">
        <v>550</v>
      </c>
      <c r="H7" s="55">
        <v>500</v>
      </c>
      <c r="I7" s="257">
        <f t="shared" si="0"/>
        <v>275000</v>
      </c>
      <c r="J7" s="257">
        <v>350</v>
      </c>
      <c r="K7" s="257"/>
      <c r="L7" s="257"/>
      <c r="M7" s="257"/>
      <c r="N7" s="257"/>
      <c r="O7" s="84"/>
      <c r="P7" s="269"/>
      <c r="Q7" s="64"/>
    </row>
    <row r="8" spans="1:16">
      <c r="A8" s="251"/>
      <c r="B8" s="71"/>
      <c r="C8" s="251" t="s">
        <v>456</v>
      </c>
      <c r="D8" s="264"/>
      <c r="E8" s="264"/>
      <c r="F8" s="251"/>
      <c r="G8" s="251">
        <v>550</v>
      </c>
      <c r="H8" s="55">
        <v>500</v>
      </c>
      <c r="I8" s="257">
        <f t="shared" si="0"/>
        <v>275000</v>
      </c>
      <c r="J8" s="257">
        <v>350</v>
      </c>
      <c r="K8" s="257"/>
      <c r="L8" s="257"/>
      <c r="M8" s="257"/>
      <c r="N8" s="257"/>
      <c r="O8" s="84"/>
      <c r="P8" s="269"/>
    </row>
    <row r="9" ht="38.25" spans="1:16">
      <c r="A9" s="251"/>
      <c r="B9" s="71"/>
      <c r="C9" s="251" t="s">
        <v>457</v>
      </c>
      <c r="D9" s="264" t="s">
        <v>458</v>
      </c>
      <c r="E9" s="264"/>
      <c r="F9" s="251"/>
      <c r="G9" s="251">
        <v>300</v>
      </c>
      <c r="H9" s="55">
        <v>150</v>
      </c>
      <c r="I9" s="257">
        <f t="shared" si="0"/>
        <v>45000</v>
      </c>
      <c r="J9" s="257">
        <v>105</v>
      </c>
      <c r="K9" s="257"/>
      <c r="L9" s="257"/>
      <c r="M9" s="257"/>
      <c r="N9" s="257"/>
      <c r="O9" s="84"/>
      <c r="P9" s="269"/>
    </row>
    <row r="10" ht="112.5" spans="1:16">
      <c r="A10" s="251"/>
      <c r="B10" s="71"/>
      <c r="C10" s="71" t="s">
        <v>459</v>
      </c>
      <c r="D10" s="264" t="s">
        <v>460</v>
      </c>
      <c r="E10" s="265" t="s">
        <v>461</v>
      </c>
      <c r="F10" s="71" t="s">
        <v>209</v>
      </c>
      <c r="G10" s="251">
        <v>100</v>
      </c>
      <c r="H10" s="55">
        <v>1200</v>
      </c>
      <c r="I10" s="257">
        <f t="shared" si="0"/>
        <v>120000</v>
      </c>
      <c r="J10" s="257">
        <v>840</v>
      </c>
      <c r="K10" s="257"/>
      <c r="L10" s="257"/>
      <c r="M10" s="257"/>
      <c r="N10" s="257"/>
      <c r="O10" s="84"/>
      <c r="P10" s="71"/>
    </row>
    <row r="11" ht="36" spans="1:16">
      <c r="A11" s="231">
        <v>2</v>
      </c>
      <c r="B11" s="31" t="s">
        <v>462</v>
      </c>
      <c r="C11" s="31" t="s">
        <v>463</v>
      </c>
      <c r="D11" s="31" t="s">
        <v>464</v>
      </c>
      <c r="E11" s="267" t="s">
        <v>465</v>
      </c>
      <c r="F11" s="31" t="s">
        <v>25</v>
      </c>
      <c r="G11" s="197">
        <v>5</v>
      </c>
      <c r="H11" s="55">
        <v>25000</v>
      </c>
      <c r="I11" s="201">
        <f t="shared" si="0"/>
        <v>125000</v>
      </c>
      <c r="J11" s="257">
        <v>17500</v>
      </c>
      <c r="K11" s="257"/>
      <c r="L11" s="257"/>
      <c r="M11" s="257"/>
      <c r="N11" s="257"/>
      <c r="O11" s="84"/>
      <c r="P11" s="270"/>
    </row>
    <row r="12" ht="96" spans="1:16">
      <c r="A12" s="232"/>
      <c r="B12" s="31"/>
      <c r="C12" s="31" t="s">
        <v>466</v>
      </c>
      <c r="D12" s="267" t="s">
        <v>467</v>
      </c>
      <c r="E12" s="31" t="s">
        <v>468</v>
      </c>
      <c r="F12" s="31" t="s">
        <v>451</v>
      </c>
      <c r="G12" s="197">
        <v>7</v>
      </c>
      <c r="H12" s="55">
        <f>H11</f>
        <v>25000</v>
      </c>
      <c r="I12" s="201">
        <f t="shared" si="0"/>
        <v>175000</v>
      </c>
      <c r="J12" s="257">
        <v>17500</v>
      </c>
      <c r="K12" s="257"/>
      <c r="L12" s="257"/>
      <c r="M12" s="257"/>
      <c r="N12" s="257"/>
      <c r="O12" s="84"/>
      <c r="P12" s="215"/>
    </row>
    <row r="13" ht="36" spans="1:16">
      <c r="A13" s="194"/>
      <c r="B13" s="31"/>
      <c r="C13" s="31" t="s">
        <v>469</v>
      </c>
      <c r="D13" s="267" t="s">
        <v>470</v>
      </c>
      <c r="E13" s="31" t="s">
        <v>465</v>
      </c>
      <c r="F13" s="31" t="s">
        <v>451</v>
      </c>
      <c r="G13" s="197">
        <v>15</v>
      </c>
      <c r="H13" s="55">
        <v>5000</v>
      </c>
      <c r="I13" s="201">
        <f t="shared" si="0"/>
        <v>75000</v>
      </c>
      <c r="J13" s="257">
        <v>3500</v>
      </c>
      <c r="K13" s="257"/>
      <c r="L13" s="257"/>
      <c r="M13" s="257"/>
      <c r="N13" s="257"/>
      <c r="O13" s="84"/>
      <c r="P13" s="270"/>
    </row>
    <row r="14" ht="36" spans="1:16">
      <c r="A14" s="197">
        <v>3</v>
      </c>
      <c r="B14" s="31" t="s">
        <v>471</v>
      </c>
      <c r="C14" s="31" t="s">
        <v>472</v>
      </c>
      <c r="D14" s="267" t="s">
        <v>473</v>
      </c>
      <c r="E14" s="31" t="s">
        <v>474</v>
      </c>
      <c r="F14" s="31" t="s">
        <v>427</v>
      </c>
      <c r="G14" s="197">
        <v>400</v>
      </c>
      <c r="H14" s="55">
        <v>200</v>
      </c>
      <c r="I14" s="201">
        <f t="shared" si="0"/>
        <v>80000</v>
      </c>
      <c r="J14" s="257">
        <v>140</v>
      </c>
      <c r="K14" s="257"/>
      <c r="L14" s="257"/>
      <c r="M14" s="257"/>
      <c r="N14" s="257"/>
      <c r="O14" s="84"/>
      <c r="P14" s="270"/>
    </row>
    <row r="15" ht="24" customHeight="1" spans="1:16">
      <c r="A15" s="250" t="s">
        <v>385</v>
      </c>
      <c r="B15" s="250"/>
      <c r="C15" s="250"/>
      <c r="D15" s="250"/>
      <c r="E15" s="250"/>
      <c r="F15" s="250"/>
      <c r="G15" s="250"/>
      <c r="H15" s="250"/>
      <c r="I15" s="259">
        <f>SUM(I4:I14)</f>
        <v>1521000</v>
      </c>
      <c r="J15" s="251"/>
      <c r="K15" s="259">
        <f>SUM(K4:K14)</f>
        <v>0</v>
      </c>
      <c r="L15" s="259"/>
      <c r="M15" s="259"/>
      <c r="N15" s="259"/>
      <c r="O15" s="251"/>
      <c r="P15" s="260"/>
    </row>
  </sheetData>
  <autoFilter xmlns:etc="http://www.wps.cn/officeDocument/2017/etCustomData" ref="A3:Q15" etc:filterBottomFollowUsedRange="0">
    <extLst/>
  </autoFilter>
  <mergeCells count="10">
    <mergeCell ref="A1:P1"/>
    <mergeCell ref="A2:P2"/>
    <mergeCell ref="A15:H15"/>
    <mergeCell ref="A4:A10"/>
    <mergeCell ref="A11:A13"/>
    <mergeCell ref="B4:B10"/>
    <mergeCell ref="B11:B13"/>
    <mergeCell ref="D7:D8"/>
    <mergeCell ref="E7:E9"/>
    <mergeCell ref="F7:F9"/>
  </mergeCells>
  <pageMargins left="0.75" right="0.75" top="1" bottom="1" header="0.5" footer="0.5"/>
  <pageSetup paperSize="9" scale="4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Q9"/>
  <sheetViews>
    <sheetView view="pageBreakPreview" zoomScaleNormal="100" workbookViewId="0">
      <pane xSplit="2" ySplit="3" topLeftCell="C4" activePane="bottomRight" state="frozen"/>
      <selection/>
      <selection pane="topRight"/>
      <selection pane="bottomLeft"/>
      <selection pane="bottomRight" activeCell="E18" sqref="E18"/>
    </sheetView>
  </sheetViews>
  <sheetFormatPr defaultColWidth="9" defaultRowHeight="13.5"/>
  <cols>
    <col min="1" max="1" width="5.875" customWidth="1"/>
    <col min="2" max="2" width="9.375" customWidth="1"/>
    <col min="3" max="3" width="19.25" customWidth="1"/>
    <col min="4" max="4" width="22.5" customWidth="1"/>
    <col min="5" max="5" width="22.625" customWidth="1"/>
    <col min="6" max="6" width="7.625" customWidth="1"/>
    <col min="7" max="7" width="7.125" customWidth="1"/>
    <col min="8" max="8" width="8.625" hidden="1" customWidth="1"/>
    <col min="9" max="9" width="10.625" hidden="1" customWidth="1"/>
    <col min="10" max="14" width="13" customWidth="1"/>
    <col min="15" max="15" width="16.875" customWidth="1"/>
    <col min="16" max="16" width="15.625" customWidth="1"/>
  </cols>
  <sheetData>
    <row r="1" ht="30" customHeight="1" spans="1:17">
      <c r="A1" s="248" t="s">
        <v>475</v>
      </c>
      <c r="B1" s="248"/>
      <c r="C1" s="248"/>
      <c r="D1" s="248"/>
      <c r="E1" s="248"/>
      <c r="F1" s="248"/>
      <c r="G1" s="248"/>
      <c r="H1" s="248"/>
      <c r="I1" s="248"/>
      <c r="J1" s="248"/>
      <c r="K1" s="248"/>
      <c r="L1" s="248"/>
      <c r="M1" s="248"/>
      <c r="N1" s="248"/>
      <c r="O1" s="248"/>
      <c r="P1" s="248"/>
      <c r="Q1" s="261"/>
    </row>
    <row r="2" ht="35.1" customHeight="1" spans="1:17">
      <c r="A2" s="249" t="str">
        <f>'3、主体结构检测'!A2</f>
        <v>工程名称：天河区凌塘村城中村改造项目-首开区复建安置房及配套设施工程第三方检测及监测技术服务</v>
      </c>
      <c r="B2" s="249"/>
      <c r="C2" s="249"/>
      <c r="D2" s="249"/>
      <c r="E2" s="249"/>
      <c r="F2" s="249"/>
      <c r="G2" s="249"/>
      <c r="H2" s="249"/>
      <c r="I2" s="249"/>
      <c r="J2" s="249"/>
      <c r="K2" s="249"/>
      <c r="L2" s="249"/>
      <c r="M2" s="249"/>
      <c r="N2" s="249"/>
      <c r="O2" s="249"/>
      <c r="P2" s="249"/>
      <c r="Q2" s="261"/>
    </row>
    <row r="3" ht="33" customHeight="1" spans="1:16">
      <c r="A3" s="250" t="s">
        <v>18</v>
      </c>
      <c r="B3" s="250" t="s">
        <v>436</v>
      </c>
      <c r="C3" s="250" t="s">
        <v>437</v>
      </c>
      <c r="D3" s="250" t="s">
        <v>50</v>
      </c>
      <c r="E3" s="250" t="s">
        <v>438</v>
      </c>
      <c r="F3" s="250" t="s">
        <v>20</v>
      </c>
      <c r="G3" s="42" t="s">
        <v>51</v>
      </c>
      <c r="H3" s="10" t="s">
        <v>52</v>
      </c>
      <c r="I3" s="10" t="s">
        <v>53</v>
      </c>
      <c r="J3" s="10" t="str">
        <f>'3、主体结构检测'!J3</f>
        <v>全费用综合单价限价（元）</v>
      </c>
      <c r="K3" s="10" t="s">
        <v>55</v>
      </c>
      <c r="L3" s="10" t="s">
        <v>56</v>
      </c>
      <c r="M3" s="10" t="s">
        <v>57</v>
      </c>
      <c r="N3" s="10" t="s">
        <v>476</v>
      </c>
      <c r="O3" s="42" t="s">
        <v>11</v>
      </c>
      <c r="P3" s="250" t="s">
        <v>12</v>
      </c>
    </row>
    <row r="4" ht="60.75" spans="1:16">
      <c r="A4" s="251">
        <v>1</v>
      </c>
      <c r="B4" s="71" t="s">
        <v>477</v>
      </c>
      <c r="C4" s="251" t="s">
        <v>440</v>
      </c>
      <c r="D4" s="252" t="s">
        <v>478</v>
      </c>
      <c r="E4" s="252" t="s">
        <v>479</v>
      </c>
      <c r="F4" s="71" t="s">
        <v>443</v>
      </c>
      <c r="G4" s="251">
        <v>108</v>
      </c>
      <c r="H4" s="55">
        <v>500</v>
      </c>
      <c r="I4" s="257">
        <f>H4*G4</f>
        <v>54000</v>
      </c>
      <c r="J4" s="257">
        <v>350</v>
      </c>
      <c r="K4" s="257"/>
      <c r="L4" s="257"/>
      <c r="M4" s="257"/>
      <c r="N4" s="257"/>
      <c r="O4" s="251"/>
      <c r="P4" s="71"/>
    </row>
    <row r="5" ht="36.75" spans="1:16">
      <c r="A5" s="251"/>
      <c r="B5" s="71"/>
      <c r="C5" s="71" t="s">
        <v>480</v>
      </c>
      <c r="D5" s="252" t="s">
        <v>481</v>
      </c>
      <c r="E5" s="252" t="s">
        <v>479</v>
      </c>
      <c r="F5" s="71" t="s">
        <v>451</v>
      </c>
      <c r="G5" s="251">
        <v>10</v>
      </c>
      <c r="H5" s="55">
        <v>600</v>
      </c>
      <c r="I5" s="257">
        <f>H5*G5</f>
        <v>6000</v>
      </c>
      <c r="J5" s="257">
        <v>420</v>
      </c>
      <c r="K5" s="257"/>
      <c r="L5" s="258"/>
      <c r="M5" s="258"/>
      <c r="N5" s="258"/>
      <c r="O5" s="240"/>
      <c r="P5" s="71"/>
    </row>
    <row r="6" spans="1:16">
      <c r="A6" s="251"/>
      <c r="B6" s="71"/>
      <c r="C6" s="251" t="s">
        <v>452</v>
      </c>
      <c r="D6" s="252" t="s">
        <v>482</v>
      </c>
      <c r="E6" s="71" t="s">
        <v>483</v>
      </c>
      <c r="F6" s="251" t="s">
        <v>455</v>
      </c>
      <c r="G6" s="251">
        <v>60</v>
      </c>
      <c r="H6" s="55">
        <v>500</v>
      </c>
      <c r="I6" s="257">
        <f>H6*G6</f>
        <v>30000</v>
      </c>
      <c r="J6" s="257">
        <v>350</v>
      </c>
      <c r="K6" s="257"/>
      <c r="L6" s="257"/>
      <c r="M6" s="257"/>
      <c r="N6" s="257"/>
      <c r="O6" s="251"/>
      <c r="P6" s="71"/>
    </row>
    <row r="7" ht="78.95" customHeight="1" spans="1:16">
      <c r="A7" s="251"/>
      <c r="B7" s="71"/>
      <c r="C7" s="251" t="s">
        <v>456</v>
      </c>
      <c r="D7" s="253"/>
      <c r="E7" s="71"/>
      <c r="F7" s="251"/>
      <c r="G7" s="251">
        <v>60</v>
      </c>
      <c r="H7" s="55">
        <v>500</v>
      </c>
      <c r="I7" s="257">
        <f>H7*G7</f>
        <v>30000</v>
      </c>
      <c r="J7" s="257">
        <v>350</v>
      </c>
      <c r="K7" s="257"/>
      <c r="L7" s="257"/>
      <c r="M7" s="257"/>
      <c r="N7" s="257"/>
      <c r="O7" s="251"/>
      <c r="P7" s="71"/>
    </row>
    <row r="8" ht="72" spans="1:16">
      <c r="A8" s="251"/>
      <c r="B8" s="71"/>
      <c r="C8" s="251" t="s">
        <v>457</v>
      </c>
      <c r="D8" s="252" t="s">
        <v>484</v>
      </c>
      <c r="E8" s="71"/>
      <c r="F8" s="251"/>
      <c r="G8" s="251">
        <v>56</v>
      </c>
      <c r="H8" s="55">
        <v>150</v>
      </c>
      <c r="I8" s="257">
        <f>H8*G8</f>
        <v>8400</v>
      </c>
      <c r="J8" s="257">
        <v>105</v>
      </c>
      <c r="K8" s="257"/>
      <c r="L8" s="257"/>
      <c r="M8" s="257"/>
      <c r="N8" s="257"/>
      <c r="O8" s="251"/>
      <c r="P8" s="71"/>
    </row>
    <row r="9" ht="20.1" customHeight="1" spans="1:16">
      <c r="A9" s="254" t="s">
        <v>385</v>
      </c>
      <c r="B9" s="255"/>
      <c r="C9" s="255"/>
      <c r="D9" s="255"/>
      <c r="E9" s="255"/>
      <c r="F9" s="255"/>
      <c r="G9" s="255"/>
      <c r="H9" s="256"/>
      <c r="I9" s="259">
        <f>SUM(I4:I8)</f>
        <v>128400</v>
      </c>
      <c r="J9" s="251"/>
      <c r="K9" s="259">
        <f>SUM(K4:K8)</f>
        <v>0</v>
      </c>
      <c r="L9" s="259"/>
      <c r="M9" s="259"/>
      <c r="N9" s="259"/>
      <c r="O9" s="251"/>
      <c r="P9" s="260"/>
    </row>
  </sheetData>
  <mergeCells count="8">
    <mergeCell ref="A1:P1"/>
    <mergeCell ref="A2:P2"/>
    <mergeCell ref="A9:H9"/>
    <mergeCell ref="A4:A8"/>
    <mergeCell ref="B4:B8"/>
    <mergeCell ref="D6:D7"/>
    <mergeCell ref="E6:E8"/>
    <mergeCell ref="F6:F8"/>
  </mergeCells>
  <pageMargins left="0.75" right="0.75" top="1" bottom="1" header="0.5" footer="0.5"/>
  <pageSetup paperSize="9" scale="45"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Q124"/>
  <sheetViews>
    <sheetView view="pageBreakPreview" zoomScaleNormal="100" workbookViewId="0">
      <pane ySplit="3" topLeftCell="A4" activePane="bottomLeft" state="frozen"/>
      <selection/>
      <selection pane="bottomLeft" activeCell="Q77" sqref="Q77"/>
    </sheetView>
  </sheetViews>
  <sheetFormatPr defaultColWidth="12.625" defaultRowHeight="23.1" customHeight="1"/>
  <cols>
    <col min="1" max="1" width="6.5" style="102" customWidth="1"/>
    <col min="2" max="2" width="12.625" style="102" customWidth="1"/>
    <col min="3" max="3" width="33.875" style="102" customWidth="1"/>
    <col min="4" max="4" width="15.75" style="102" customWidth="1"/>
    <col min="5" max="6" width="12.625" style="102" customWidth="1"/>
    <col min="7" max="7" width="9.625" style="102" customWidth="1"/>
    <col min="8" max="8" width="8.125" style="102" customWidth="1"/>
    <col min="9" max="9" width="8.125" style="102" hidden="1" customWidth="1"/>
    <col min="10" max="10" width="10.875" style="102" hidden="1" customWidth="1"/>
    <col min="11" max="11" width="10.25" style="102" customWidth="1"/>
    <col min="12" max="15" width="12.75" style="102" customWidth="1"/>
    <col min="16" max="16" width="13.625" style="102" customWidth="1"/>
    <col min="17" max="17" width="12.625" style="102" customWidth="1"/>
    <col min="18" max="16384" width="12.625" style="102"/>
  </cols>
  <sheetData>
    <row r="1" ht="48.95" customHeight="1" spans="1:17">
      <c r="A1" s="227" t="s">
        <v>485</v>
      </c>
      <c r="B1" s="227"/>
      <c r="C1" s="227"/>
      <c r="D1" s="227"/>
      <c r="E1" s="227"/>
      <c r="F1" s="227"/>
      <c r="G1" s="227"/>
      <c r="H1" s="227"/>
      <c r="I1" s="227"/>
      <c r="J1" s="227"/>
      <c r="K1" s="227"/>
      <c r="L1" s="227"/>
      <c r="M1" s="227"/>
      <c r="N1" s="227"/>
      <c r="O1" s="227"/>
      <c r="P1" s="227"/>
      <c r="Q1" s="227"/>
    </row>
    <row r="2" customFormat="1" ht="29.1" customHeight="1" spans="1:17">
      <c r="A2" s="228" t="str">
        <f>'4、人防主体结构检测'!A2</f>
        <v>工程名称：天河区凌塘村城中村改造项目-首开区复建安置房及配套设施工程第三方检测及监测技术服务</v>
      </c>
      <c r="B2" s="228"/>
      <c r="C2" s="228"/>
      <c r="D2" s="228"/>
      <c r="E2" s="228"/>
      <c r="F2" s="228"/>
      <c r="G2" s="228"/>
      <c r="H2" s="228"/>
      <c r="I2" s="228"/>
      <c r="J2" s="228"/>
      <c r="K2" s="228"/>
      <c r="L2" s="228"/>
      <c r="M2" s="228"/>
      <c r="N2" s="228"/>
      <c r="O2" s="228"/>
      <c r="P2" s="228"/>
      <c r="Q2" s="228"/>
    </row>
    <row r="3" s="226" customFormat="1" ht="39" customHeight="1" spans="1:17">
      <c r="A3" s="229" t="s">
        <v>18</v>
      </c>
      <c r="B3" s="229" t="s">
        <v>486</v>
      </c>
      <c r="C3" s="229" t="s">
        <v>487</v>
      </c>
      <c r="D3" s="229" t="s">
        <v>488</v>
      </c>
      <c r="E3" s="229" t="s">
        <v>13</v>
      </c>
      <c r="F3" s="229" t="s">
        <v>489</v>
      </c>
      <c r="G3" s="229" t="s">
        <v>20</v>
      </c>
      <c r="H3" s="229" t="s">
        <v>51</v>
      </c>
      <c r="I3" s="10" t="s">
        <v>52</v>
      </c>
      <c r="J3" s="10" t="s">
        <v>53</v>
      </c>
      <c r="K3" s="10" t="str">
        <f>'4、人防主体结构检测'!J3</f>
        <v>全费用综合单价限价（元）</v>
      </c>
      <c r="L3" s="10" t="s">
        <v>55</v>
      </c>
      <c r="M3" s="10" t="s">
        <v>56</v>
      </c>
      <c r="N3" s="10" t="s">
        <v>57</v>
      </c>
      <c r="O3" s="10" t="s">
        <v>22</v>
      </c>
      <c r="P3" s="42" t="s">
        <v>11</v>
      </c>
      <c r="Q3" s="42" t="s">
        <v>12</v>
      </c>
    </row>
    <row r="4" s="226" customFormat="1" ht="33" customHeight="1" spans="1:17">
      <c r="A4" s="230">
        <v>1</v>
      </c>
      <c r="B4" s="31" t="s">
        <v>490</v>
      </c>
      <c r="C4" s="31" t="s">
        <v>491</v>
      </c>
      <c r="D4" s="31" t="s">
        <v>492</v>
      </c>
      <c r="E4" s="31" t="s">
        <v>493</v>
      </c>
      <c r="F4" s="197" t="s">
        <v>494</v>
      </c>
      <c r="G4" s="84" t="s">
        <v>25</v>
      </c>
      <c r="H4" s="202">
        <v>49</v>
      </c>
      <c r="I4" s="233">
        <v>60</v>
      </c>
      <c r="J4" s="207">
        <f>I4*H4</f>
        <v>2940</v>
      </c>
      <c r="K4" s="207">
        <v>42</v>
      </c>
      <c r="L4" s="207"/>
      <c r="M4" s="207"/>
      <c r="N4" s="207"/>
      <c r="O4" s="207"/>
      <c r="P4" s="234"/>
      <c r="Q4" s="197"/>
    </row>
    <row r="5" s="226" customFormat="1" ht="33" customHeight="1" spans="1:17">
      <c r="A5" s="230">
        <v>2</v>
      </c>
      <c r="B5" s="197"/>
      <c r="C5" s="31" t="s">
        <v>495</v>
      </c>
      <c r="D5" s="197"/>
      <c r="E5" s="197"/>
      <c r="F5" s="197"/>
      <c r="G5" s="84" t="s">
        <v>25</v>
      </c>
      <c r="H5" s="202">
        <v>49</v>
      </c>
      <c r="I5" s="235">
        <v>60</v>
      </c>
      <c r="J5" s="207">
        <f t="shared" ref="J5:J36" si="0">I5*H5</f>
        <v>2940</v>
      </c>
      <c r="K5" s="207">
        <v>42</v>
      </c>
      <c r="L5" s="207"/>
      <c r="M5" s="207"/>
      <c r="N5" s="207"/>
      <c r="O5" s="207"/>
      <c r="P5" s="236"/>
      <c r="Q5" s="197"/>
    </row>
    <row r="6" s="226" customFormat="1" ht="33" customHeight="1" spans="1:17">
      <c r="A6" s="230">
        <v>3</v>
      </c>
      <c r="B6" s="197"/>
      <c r="C6" s="31" t="s">
        <v>496</v>
      </c>
      <c r="D6" s="197"/>
      <c r="E6" s="197"/>
      <c r="F6" s="197"/>
      <c r="G6" s="84" t="s">
        <v>25</v>
      </c>
      <c r="H6" s="202">
        <v>49</v>
      </c>
      <c r="I6" s="235">
        <v>80</v>
      </c>
      <c r="J6" s="207">
        <f t="shared" si="0"/>
        <v>3920</v>
      </c>
      <c r="K6" s="207">
        <v>56</v>
      </c>
      <c r="L6" s="207"/>
      <c r="M6" s="207"/>
      <c r="N6" s="207"/>
      <c r="O6" s="207"/>
      <c r="P6" s="234"/>
      <c r="Q6" s="197"/>
    </row>
    <row r="7" s="226" customFormat="1" ht="49.5" spans="1:17">
      <c r="A7" s="230">
        <v>4</v>
      </c>
      <c r="B7" s="197"/>
      <c r="C7" s="31" t="s">
        <v>497</v>
      </c>
      <c r="D7" s="197"/>
      <c r="E7" s="197"/>
      <c r="F7" s="31" t="s">
        <v>498</v>
      </c>
      <c r="G7" s="84" t="s">
        <v>499</v>
      </c>
      <c r="H7" s="202">
        <v>49</v>
      </c>
      <c r="I7" s="235">
        <v>80</v>
      </c>
      <c r="J7" s="207">
        <f t="shared" si="0"/>
        <v>3920</v>
      </c>
      <c r="K7" s="207">
        <v>56</v>
      </c>
      <c r="L7" s="207"/>
      <c r="M7" s="207"/>
      <c r="N7" s="207"/>
      <c r="O7" s="207"/>
      <c r="P7" s="234"/>
      <c r="Q7" s="197"/>
    </row>
    <row r="8" s="226" customFormat="1" ht="36.75" spans="1:17">
      <c r="A8" s="230">
        <v>5</v>
      </c>
      <c r="B8" s="197"/>
      <c r="C8" s="31" t="s">
        <v>500</v>
      </c>
      <c r="D8" s="197"/>
      <c r="E8" s="197"/>
      <c r="F8" s="197" t="s">
        <v>501</v>
      </c>
      <c r="G8" s="84" t="s">
        <v>25</v>
      </c>
      <c r="H8" s="202">
        <v>49</v>
      </c>
      <c r="I8" s="235">
        <v>200</v>
      </c>
      <c r="J8" s="207">
        <f t="shared" si="0"/>
        <v>9800</v>
      </c>
      <c r="K8" s="207">
        <v>140</v>
      </c>
      <c r="L8" s="207"/>
      <c r="M8" s="207"/>
      <c r="N8" s="207"/>
      <c r="O8" s="207"/>
      <c r="P8" s="234"/>
      <c r="Q8" s="31"/>
    </row>
    <row r="9" s="226" customFormat="1" ht="33" customHeight="1" spans="1:17">
      <c r="A9" s="230">
        <v>6</v>
      </c>
      <c r="B9" s="197"/>
      <c r="C9" s="31" t="s">
        <v>502</v>
      </c>
      <c r="D9" s="197"/>
      <c r="E9" s="197"/>
      <c r="F9" s="197" t="s">
        <v>494</v>
      </c>
      <c r="G9" s="84" t="s">
        <v>25</v>
      </c>
      <c r="H9" s="202">
        <v>49</v>
      </c>
      <c r="I9" s="235">
        <v>60</v>
      </c>
      <c r="J9" s="207">
        <f t="shared" si="0"/>
        <v>2940</v>
      </c>
      <c r="K9" s="207">
        <v>42</v>
      </c>
      <c r="L9" s="207"/>
      <c r="M9" s="207"/>
      <c r="N9" s="207"/>
      <c r="O9" s="207"/>
      <c r="P9" s="234"/>
      <c r="Q9" s="197"/>
    </row>
    <row r="10" s="226" customFormat="1" ht="33" customHeight="1" spans="1:17">
      <c r="A10" s="230">
        <v>7</v>
      </c>
      <c r="B10" s="197"/>
      <c r="C10" s="31" t="s">
        <v>503</v>
      </c>
      <c r="D10" s="197"/>
      <c r="E10" s="197"/>
      <c r="F10" s="197"/>
      <c r="G10" s="84" t="s">
        <v>25</v>
      </c>
      <c r="H10" s="202">
        <v>49</v>
      </c>
      <c r="I10" s="235">
        <v>150</v>
      </c>
      <c r="J10" s="207">
        <f t="shared" si="0"/>
        <v>7350</v>
      </c>
      <c r="K10" s="207">
        <v>105</v>
      </c>
      <c r="L10" s="207"/>
      <c r="M10" s="207"/>
      <c r="N10" s="207"/>
      <c r="O10" s="207"/>
      <c r="P10" s="234"/>
      <c r="Q10" s="31"/>
    </row>
    <row r="11" s="226" customFormat="1" ht="33" customHeight="1" spans="1:17">
      <c r="A11" s="230">
        <v>8</v>
      </c>
      <c r="B11" s="197"/>
      <c r="C11" s="31" t="s">
        <v>504</v>
      </c>
      <c r="D11" s="197"/>
      <c r="E11" s="197"/>
      <c r="F11" s="197"/>
      <c r="G11" s="84" t="s">
        <v>25</v>
      </c>
      <c r="H11" s="202">
        <v>49</v>
      </c>
      <c r="I11" s="235">
        <v>80</v>
      </c>
      <c r="J11" s="207">
        <f t="shared" si="0"/>
        <v>3920</v>
      </c>
      <c r="K11" s="207">
        <v>56</v>
      </c>
      <c r="L11" s="207"/>
      <c r="M11" s="207"/>
      <c r="N11" s="207"/>
      <c r="O11" s="207"/>
      <c r="P11" s="234"/>
      <c r="Q11" s="31"/>
    </row>
    <row r="12" s="226" customFormat="1" ht="33" customHeight="1" spans="1:17">
      <c r="A12" s="230">
        <v>9</v>
      </c>
      <c r="B12" s="197"/>
      <c r="C12" s="31" t="s">
        <v>505</v>
      </c>
      <c r="D12" s="197"/>
      <c r="E12" s="31" t="s">
        <v>506</v>
      </c>
      <c r="F12" s="197"/>
      <c r="G12" s="84" t="s">
        <v>25</v>
      </c>
      <c r="H12" s="202">
        <v>49</v>
      </c>
      <c r="I12" s="235">
        <v>100</v>
      </c>
      <c r="J12" s="207">
        <f t="shared" si="0"/>
        <v>4900</v>
      </c>
      <c r="K12" s="207">
        <v>70</v>
      </c>
      <c r="L12" s="207"/>
      <c r="M12" s="207"/>
      <c r="N12" s="207"/>
      <c r="O12" s="207"/>
      <c r="P12" s="234"/>
      <c r="Q12" s="197"/>
    </row>
    <row r="13" s="226" customFormat="1" ht="33" customHeight="1" spans="1:17">
      <c r="A13" s="230">
        <v>10</v>
      </c>
      <c r="B13" s="197"/>
      <c r="C13" s="31" t="s">
        <v>507</v>
      </c>
      <c r="D13" s="197"/>
      <c r="E13" s="197"/>
      <c r="F13" s="197"/>
      <c r="G13" s="84" t="s">
        <v>25</v>
      </c>
      <c r="H13" s="202">
        <v>49</v>
      </c>
      <c r="I13" s="235">
        <v>80</v>
      </c>
      <c r="J13" s="207">
        <f t="shared" si="0"/>
        <v>3920</v>
      </c>
      <c r="K13" s="207">
        <v>56</v>
      </c>
      <c r="L13" s="207"/>
      <c r="M13" s="207"/>
      <c r="N13" s="207"/>
      <c r="O13" s="207"/>
      <c r="P13" s="234"/>
      <c r="Q13" s="197"/>
    </row>
    <row r="14" s="226" customFormat="1" ht="33" customHeight="1" spans="1:17">
      <c r="A14" s="230">
        <v>11</v>
      </c>
      <c r="B14" s="197"/>
      <c r="C14" s="31" t="s">
        <v>508</v>
      </c>
      <c r="D14" s="197"/>
      <c r="E14" s="197"/>
      <c r="F14" s="197"/>
      <c r="G14" s="84" t="s">
        <v>25</v>
      </c>
      <c r="H14" s="202">
        <v>49</v>
      </c>
      <c r="I14" s="235">
        <v>80</v>
      </c>
      <c r="J14" s="207">
        <f t="shared" si="0"/>
        <v>3920</v>
      </c>
      <c r="K14" s="207">
        <v>56</v>
      </c>
      <c r="L14" s="207"/>
      <c r="M14" s="207"/>
      <c r="N14" s="207"/>
      <c r="O14" s="207"/>
      <c r="P14" s="234"/>
      <c r="Q14" s="197"/>
    </row>
    <row r="15" s="226" customFormat="1" ht="33" customHeight="1" spans="1:17">
      <c r="A15" s="230">
        <v>12</v>
      </c>
      <c r="B15" s="197"/>
      <c r="C15" s="31" t="s">
        <v>509</v>
      </c>
      <c r="D15" s="197"/>
      <c r="E15" s="197"/>
      <c r="F15" s="197"/>
      <c r="G15" s="84" t="s">
        <v>25</v>
      </c>
      <c r="H15" s="202">
        <v>49</v>
      </c>
      <c r="I15" s="235">
        <v>100</v>
      </c>
      <c r="J15" s="207">
        <f t="shared" si="0"/>
        <v>4900</v>
      </c>
      <c r="K15" s="207">
        <v>70</v>
      </c>
      <c r="L15" s="207"/>
      <c r="M15" s="207"/>
      <c r="N15" s="207"/>
      <c r="O15" s="207"/>
      <c r="P15" s="234"/>
      <c r="Q15" s="197"/>
    </row>
    <row r="16" s="226" customFormat="1" ht="33" customHeight="1" spans="1:17">
      <c r="A16" s="230">
        <v>13</v>
      </c>
      <c r="B16" s="197"/>
      <c r="C16" s="31" t="s">
        <v>510</v>
      </c>
      <c r="D16" s="197"/>
      <c r="E16" s="197"/>
      <c r="F16" s="197"/>
      <c r="G16" s="84" t="s">
        <v>25</v>
      </c>
      <c r="H16" s="202">
        <v>49</v>
      </c>
      <c r="I16" s="235">
        <v>100</v>
      </c>
      <c r="J16" s="207">
        <f t="shared" si="0"/>
        <v>4900</v>
      </c>
      <c r="K16" s="207">
        <v>70</v>
      </c>
      <c r="L16" s="207"/>
      <c r="M16" s="207"/>
      <c r="N16" s="207"/>
      <c r="O16" s="207"/>
      <c r="P16" s="234"/>
      <c r="Q16" s="197"/>
    </row>
    <row r="17" s="226" customFormat="1" ht="33" customHeight="1" spans="1:17">
      <c r="A17" s="230">
        <v>14</v>
      </c>
      <c r="B17" s="197"/>
      <c r="C17" s="31" t="s">
        <v>511</v>
      </c>
      <c r="D17" s="197"/>
      <c r="E17" s="197"/>
      <c r="F17" s="197"/>
      <c r="G17" s="84" t="s">
        <v>25</v>
      </c>
      <c r="H17" s="202">
        <v>49</v>
      </c>
      <c r="I17" s="235">
        <v>200</v>
      </c>
      <c r="J17" s="207">
        <f t="shared" si="0"/>
        <v>9800</v>
      </c>
      <c r="K17" s="207">
        <v>140</v>
      </c>
      <c r="L17" s="207"/>
      <c r="M17" s="207"/>
      <c r="N17" s="207"/>
      <c r="O17" s="207"/>
      <c r="P17" s="234"/>
      <c r="Q17" s="197"/>
    </row>
    <row r="18" s="226" customFormat="1" ht="33" customHeight="1" spans="1:17">
      <c r="A18" s="230">
        <v>15</v>
      </c>
      <c r="B18" s="197"/>
      <c r="C18" s="31" t="s">
        <v>512</v>
      </c>
      <c r="D18" s="197"/>
      <c r="E18" s="197"/>
      <c r="F18" s="197"/>
      <c r="G18" s="84" t="s">
        <v>25</v>
      </c>
      <c r="H18" s="202">
        <v>49</v>
      </c>
      <c r="I18" s="235">
        <v>80</v>
      </c>
      <c r="J18" s="207">
        <f t="shared" si="0"/>
        <v>3920</v>
      </c>
      <c r="K18" s="207">
        <v>56</v>
      </c>
      <c r="L18" s="207"/>
      <c r="M18" s="207"/>
      <c r="N18" s="207"/>
      <c r="O18" s="207"/>
      <c r="P18" s="234"/>
      <c r="Q18" s="197"/>
    </row>
    <row r="19" s="226" customFormat="1" ht="33" customHeight="1" spans="1:17">
      <c r="A19" s="230">
        <v>16</v>
      </c>
      <c r="B19" s="197"/>
      <c r="C19" s="31" t="s">
        <v>513</v>
      </c>
      <c r="D19" s="197"/>
      <c r="E19" s="197"/>
      <c r="F19" s="197"/>
      <c r="G19" s="84" t="s">
        <v>25</v>
      </c>
      <c r="H19" s="202">
        <v>49</v>
      </c>
      <c r="I19" s="235">
        <v>100</v>
      </c>
      <c r="J19" s="207">
        <f t="shared" si="0"/>
        <v>4900</v>
      </c>
      <c r="K19" s="207">
        <v>70</v>
      </c>
      <c r="L19" s="207"/>
      <c r="M19" s="207"/>
      <c r="N19" s="207"/>
      <c r="O19" s="207"/>
      <c r="P19" s="234"/>
      <c r="Q19" s="197"/>
    </row>
    <row r="20" s="226" customFormat="1" ht="33" customHeight="1" spans="1:17">
      <c r="A20" s="230">
        <v>17</v>
      </c>
      <c r="B20" s="197"/>
      <c r="C20" s="31" t="s">
        <v>514</v>
      </c>
      <c r="D20" s="197"/>
      <c r="E20" s="197"/>
      <c r="F20" s="197"/>
      <c r="G20" s="84" t="s">
        <v>499</v>
      </c>
      <c r="H20" s="202">
        <v>49</v>
      </c>
      <c r="I20" s="235">
        <v>350</v>
      </c>
      <c r="J20" s="207">
        <f t="shared" si="0"/>
        <v>17150</v>
      </c>
      <c r="K20" s="207">
        <v>245</v>
      </c>
      <c r="L20" s="207"/>
      <c r="M20" s="207"/>
      <c r="N20" s="207"/>
      <c r="O20" s="207"/>
      <c r="P20" s="234"/>
      <c r="Q20" s="31"/>
    </row>
    <row r="21" s="226" customFormat="1" ht="33" customHeight="1" spans="1:17">
      <c r="A21" s="230">
        <v>18</v>
      </c>
      <c r="B21" s="197"/>
      <c r="C21" s="31" t="s">
        <v>515</v>
      </c>
      <c r="D21" s="197"/>
      <c r="E21" s="197"/>
      <c r="F21" s="197"/>
      <c r="G21" s="84" t="s">
        <v>499</v>
      </c>
      <c r="H21" s="202">
        <v>49</v>
      </c>
      <c r="I21" s="235">
        <v>420</v>
      </c>
      <c r="J21" s="207">
        <f t="shared" si="0"/>
        <v>20580</v>
      </c>
      <c r="K21" s="207">
        <v>294</v>
      </c>
      <c r="L21" s="207"/>
      <c r="M21" s="207"/>
      <c r="N21" s="207"/>
      <c r="O21" s="207"/>
      <c r="P21" s="234"/>
      <c r="Q21" s="197"/>
    </row>
    <row r="22" s="226" customFormat="1" ht="33" customHeight="1" spans="1:17">
      <c r="A22" s="230">
        <v>19</v>
      </c>
      <c r="B22" s="197"/>
      <c r="C22" s="31" t="s">
        <v>516</v>
      </c>
      <c r="D22" s="197"/>
      <c r="E22" s="197"/>
      <c r="F22" s="197"/>
      <c r="G22" s="84" t="s">
        <v>25</v>
      </c>
      <c r="H22" s="202">
        <v>49</v>
      </c>
      <c r="I22" s="235">
        <v>80</v>
      </c>
      <c r="J22" s="207">
        <f t="shared" si="0"/>
        <v>3920</v>
      </c>
      <c r="K22" s="207">
        <v>56</v>
      </c>
      <c r="L22" s="207"/>
      <c r="M22" s="207"/>
      <c r="N22" s="207"/>
      <c r="O22" s="207"/>
      <c r="P22" s="234"/>
      <c r="Q22" s="197"/>
    </row>
    <row r="23" s="226" customFormat="1" ht="33" customHeight="1" spans="1:17">
      <c r="A23" s="230">
        <v>20</v>
      </c>
      <c r="B23" s="197"/>
      <c r="C23" s="31" t="s">
        <v>517</v>
      </c>
      <c r="D23" s="197"/>
      <c r="E23" s="197"/>
      <c r="F23" s="197"/>
      <c r="G23" s="84" t="s">
        <v>25</v>
      </c>
      <c r="H23" s="202">
        <v>49</v>
      </c>
      <c r="I23" s="235">
        <v>60</v>
      </c>
      <c r="J23" s="207">
        <f t="shared" si="0"/>
        <v>2940</v>
      </c>
      <c r="K23" s="207">
        <v>42</v>
      </c>
      <c r="L23" s="207"/>
      <c r="M23" s="207"/>
      <c r="N23" s="207"/>
      <c r="O23" s="207"/>
      <c r="P23" s="234"/>
      <c r="Q23" s="197"/>
    </row>
    <row r="24" s="226" customFormat="1" ht="33" customHeight="1" spans="1:17">
      <c r="A24" s="230">
        <v>21</v>
      </c>
      <c r="B24" s="31" t="s">
        <v>518</v>
      </c>
      <c r="C24" s="31" t="s">
        <v>491</v>
      </c>
      <c r="D24" s="31" t="s">
        <v>492</v>
      </c>
      <c r="E24" s="31" t="s">
        <v>493</v>
      </c>
      <c r="F24" s="197" t="s">
        <v>494</v>
      </c>
      <c r="G24" s="84" t="s">
        <v>25</v>
      </c>
      <c r="H24" s="202">
        <v>49</v>
      </c>
      <c r="I24" s="233">
        <v>60</v>
      </c>
      <c r="J24" s="207">
        <f t="shared" si="0"/>
        <v>2940</v>
      </c>
      <c r="K24" s="207">
        <v>42</v>
      </c>
      <c r="L24" s="207"/>
      <c r="M24" s="207"/>
      <c r="N24" s="207"/>
      <c r="O24" s="207"/>
      <c r="P24" s="234"/>
      <c r="Q24" s="197"/>
    </row>
    <row r="25" s="226" customFormat="1" ht="33" customHeight="1" spans="1:17">
      <c r="A25" s="230">
        <v>22</v>
      </c>
      <c r="B25" s="197"/>
      <c r="C25" s="31" t="s">
        <v>495</v>
      </c>
      <c r="D25" s="197"/>
      <c r="E25" s="197"/>
      <c r="F25" s="197"/>
      <c r="G25" s="84" t="s">
        <v>25</v>
      </c>
      <c r="H25" s="202">
        <v>49</v>
      </c>
      <c r="I25" s="235">
        <v>60</v>
      </c>
      <c r="J25" s="207">
        <f t="shared" si="0"/>
        <v>2940</v>
      </c>
      <c r="K25" s="207">
        <v>42</v>
      </c>
      <c r="L25" s="207"/>
      <c r="M25" s="207"/>
      <c r="N25" s="207"/>
      <c r="O25" s="207"/>
      <c r="P25" s="236"/>
      <c r="Q25" s="197"/>
    </row>
    <row r="26" s="226" customFormat="1" ht="33" customHeight="1" spans="1:17">
      <c r="A26" s="230">
        <v>23</v>
      </c>
      <c r="B26" s="197"/>
      <c r="C26" s="31" t="s">
        <v>496</v>
      </c>
      <c r="D26" s="197"/>
      <c r="E26" s="197"/>
      <c r="F26" s="197"/>
      <c r="G26" s="84" t="s">
        <v>25</v>
      </c>
      <c r="H26" s="202">
        <v>49</v>
      </c>
      <c r="I26" s="235">
        <v>80</v>
      </c>
      <c r="J26" s="207">
        <f t="shared" si="0"/>
        <v>3920</v>
      </c>
      <c r="K26" s="207">
        <v>56</v>
      </c>
      <c r="L26" s="207"/>
      <c r="M26" s="207"/>
      <c r="N26" s="207"/>
      <c r="O26" s="207"/>
      <c r="P26" s="234"/>
      <c r="Q26" s="197"/>
    </row>
    <row r="27" s="226" customFormat="1" ht="33" customHeight="1" spans="1:17">
      <c r="A27" s="230">
        <v>24</v>
      </c>
      <c r="B27" s="197"/>
      <c r="C27" s="31" t="s">
        <v>502</v>
      </c>
      <c r="D27" s="197"/>
      <c r="E27" s="197"/>
      <c r="F27" s="197"/>
      <c r="G27" s="84" t="s">
        <v>25</v>
      </c>
      <c r="H27" s="202">
        <v>49</v>
      </c>
      <c r="I27" s="235">
        <v>60</v>
      </c>
      <c r="J27" s="207">
        <f t="shared" si="0"/>
        <v>2940</v>
      </c>
      <c r="K27" s="207">
        <v>42</v>
      </c>
      <c r="L27" s="207"/>
      <c r="M27" s="207"/>
      <c r="N27" s="207"/>
      <c r="O27" s="207"/>
      <c r="P27" s="234"/>
      <c r="Q27" s="197"/>
    </row>
    <row r="28" s="226" customFormat="1" ht="33" customHeight="1" spans="1:17">
      <c r="A28" s="230">
        <v>25</v>
      </c>
      <c r="B28" s="197"/>
      <c r="C28" s="31" t="s">
        <v>503</v>
      </c>
      <c r="D28" s="197"/>
      <c r="E28" s="197"/>
      <c r="F28" s="197"/>
      <c r="G28" s="84" t="s">
        <v>25</v>
      </c>
      <c r="H28" s="202">
        <v>49</v>
      </c>
      <c r="I28" s="235">
        <v>150</v>
      </c>
      <c r="J28" s="207">
        <f t="shared" si="0"/>
        <v>7350</v>
      </c>
      <c r="K28" s="207">
        <v>105</v>
      </c>
      <c r="L28" s="207"/>
      <c r="M28" s="207"/>
      <c r="N28" s="207"/>
      <c r="O28" s="207"/>
      <c r="P28" s="234"/>
      <c r="Q28" s="197"/>
    </row>
    <row r="29" s="226" customFormat="1" ht="33" customHeight="1" spans="1:17">
      <c r="A29" s="230">
        <v>26</v>
      </c>
      <c r="B29" s="197"/>
      <c r="C29" s="31" t="s">
        <v>504</v>
      </c>
      <c r="D29" s="197"/>
      <c r="E29" s="197"/>
      <c r="F29" s="197"/>
      <c r="G29" s="84" t="s">
        <v>25</v>
      </c>
      <c r="H29" s="202">
        <v>49</v>
      </c>
      <c r="I29" s="235">
        <v>80</v>
      </c>
      <c r="J29" s="207">
        <f t="shared" si="0"/>
        <v>3920</v>
      </c>
      <c r="K29" s="207">
        <v>56</v>
      </c>
      <c r="L29" s="207"/>
      <c r="M29" s="207"/>
      <c r="N29" s="207"/>
      <c r="O29" s="207"/>
      <c r="P29" s="234"/>
      <c r="Q29" s="197"/>
    </row>
    <row r="30" s="226" customFormat="1" ht="33" customHeight="1" spans="1:17">
      <c r="A30" s="230">
        <v>27</v>
      </c>
      <c r="B30" s="197"/>
      <c r="C30" s="31" t="s">
        <v>519</v>
      </c>
      <c r="D30" s="197"/>
      <c r="E30" s="31" t="s">
        <v>506</v>
      </c>
      <c r="F30" s="197"/>
      <c r="G30" s="84" t="s">
        <v>25</v>
      </c>
      <c r="H30" s="202">
        <v>49</v>
      </c>
      <c r="I30" s="235">
        <v>100</v>
      </c>
      <c r="J30" s="207">
        <f t="shared" si="0"/>
        <v>4900</v>
      </c>
      <c r="K30" s="207">
        <v>70</v>
      </c>
      <c r="L30" s="207"/>
      <c r="M30" s="207"/>
      <c r="N30" s="207"/>
      <c r="O30" s="207"/>
      <c r="P30" s="234"/>
      <c r="Q30" s="31"/>
    </row>
    <row r="31" s="226" customFormat="1" ht="33" customHeight="1" spans="1:17">
      <c r="A31" s="230">
        <v>28</v>
      </c>
      <c r="B31" s="197"/>
      <c r="C31" s="31" t="s">
        <v>505</v>
      </c>
      <c r="D31" s="197"/>
      <c r="E31" s="197"/>
      <c r="F31" s="197"/>
      <c r="G31" s="84" t="s">
        <v>25</v>
      </c>
      <c r="H31" s="202">
        <v>49</v>
      </c>
      <c r="I31" s="235">
        <v>100</v>
      </c>
      <c r="J31" s="207">
        <f t="shared" si="0"/>
        <v>4900</v>
      </c>
      <c r="K31" s="207">
        <v>70</v>
      </c>
      <c r="L31" s="207"/>
      <c r="M31" s="207"/>
      <c r="N31" s="207"/>
      <c r="O31" s="207"/>
      <c r="P31" s="234"/>
      <c r="Q31" s="197"/>
    </row>
    <row r="32" s="226" customFormat="1" ht="33" customHeight="1" spans="1:17">
      <c r="A32" s="230">
        <v>29</v>
      </c>
      <c r="B32" s="197"/>
      <c r="C32" s="31" t="s">
        <v>520</v>
      </c>
      <c r="D32" s="197"/>
      <c r="E32" s="197"/>
      <c r="F32" s="197"/>
      <c r="G32" s="84" t="s">
        <v>25</v>
      </c>
      <c r="H32" s="202">
        <v>49</v>
      </c>
      <c r="I32" s="235">
        <v>80</v>
      </c>
      <c r="J32" s="207">
        <f t="shared" si="0"/>
        <v>3920</v>
      </c>
      <c r="K32" s="207">
        <v>56</v>
      </c>
      <c r="L32" s="207"/>
      <c r="M32" s="207"/>
      <c r="N32" s="207"/>
      <c r="O32" s="207"/>
      <c r="P32" s="234"/>
      <c r="Q32" s="197"/>
    </row>
    <row r="33" s="226" customFormat="1" ht="33" customHeight="1" spans="1:17">
      <c r="A33" s="230">
        <v>30</v>
      </c>
      <c r="B33" s="197"/>
      <c r="C33" s="31" t="s">
        <v>521</v>
      </c>
      <c r="D33" s="197"/>
      <c r="E33" s="197"/>
      <c r="F33" s="197"/>
      <c r="G33" s="84" t="s">
        <v>25</v>
      </c>
      <c r="H33" s="202">
        <v>49</v>
      </c>
      <c r="I33" s="235">
        <v>80</v>
      </c>
      <c r="J33" s="207">
        <f t="shared" si="0"/>
        <v>3920</v>
      </c>
      <c r="K33" s="207">
        <v>56</v>
      </c>
      <c r="L33" s="207"/>
      <c r="M33" s="207"/>
      <c r="N33" s="207"/>
      <c r="O33" s="207"/>
      <c r="P33" s="234"/>
      <c r="Q33" s="197"/>
    </row>
    <row r="34" s="226" customFormat="1" ht="33" customHeight="1" spans="1:17">
      <c r="A34" s="230">
        <v>31</v>
      </c>
      <c r="B34" s="197"/>
      <c r="C34" s="31" t="s">
        <v>509</v>
      </c>
      <c r="D34" s="197"/>
      <c r="E34" s="197"/>
      <c r="F34" s="197"/>
      <c r="G34" s="84" t="s">
        <v>25</v>
      </c>
      <c r="H34" s="202">
        <v>49</v>
      </c>
      <c r="I34" s="235">
        <v>100</v>
      </c>
      <c r="J34" s="207">
        <f t="shared" si="0"/>
        <v>4900</v>
      </c>
      <c r="K34" s="207">
        <v>70</v>
      </c>
      <c r="L34" s="207"/>
      <c r="M34" s="207"/>
      <c r="N34" s="207"/>
      <c r="O34" s="207"/>
      <c r="P34" s="234"/>
      <c r="Q34" s="197"/>
    </row>
    <row r="35" s="226" customFormat="1" ht="33" customHeight="1" spans="1:17">
      <c r="A35" s="230">
        <v>32</v>
      </c>
      <c r="B35" s="197"/>
      <c r="C35" s="31" t="s">
        <v>510</v>
      </c>
      <c r="D35" s="197"/>
      <c r="E35" s="197"/>
      <c r="F35" s="197"/>
      <c r="G35" s="84" t="s">
        <v>25</v>
      </c>
      <c r="H35" s="202">
        <v>49</v>
      </c>
      <c r="I35" s="235">
        <v>100</v>
      </c>
      <c r="J35" s="207">
        <f t="shared" si="0"/>
        <v>4900</v>
      </c>
      <c r="K35" s="207">
        <v>70</v>
      </c>
      <c r="L35" s="207"/>
      <c r="M35" s="207"/>
      <c r="N35" s="207"/>
      <c r="O35" s="207"/>
      <c r="P35" s="234"/>
      <c r="Q35" s="197"/>
    </row>
    <row r="36" s="226" customFormat="1" ht="33" customHeight="1" spans="1:17">
      <c r="A36" s="230">
        <v>33</v>
      </c>
      <c r="B36" s="197"/>
      <c r="C36" s="31" t="s">
        <v>511</v>
      </c>
      <c r="D36" s="197"/>
      <c r="E36" s="197"/>
      <c r="F36" s="197"/>
      <c r="G36" s="84" t="s">
        <v>25</v>
      </c>
      <c r="H36" s="202">
        <v>49</v>
      </c>
      <c r="I36" s="235">
        <v>80</v>
      </c>
      <c r="J36" s="207">
        <f t="shared" si="0"/>
        <v>3920</v>
      </c>
      <c r="K36" s="207">
        <v>56</v>
      </c>
      <c r="L36" s="207"/>
      <c r="M36" s="207"/>
      <c r="N36" s="207"/>
      <c r="O36" s="207"/>
      <c r="P36" s="234"/>
      <c r="Q36" s="197"/>
    </row>
    <row r="37" s="226" customFormat="1" ht="33" customHeight="1" spans="1:17">
      <c r="A37" s="230">
        <v>34</v>
      </c>
      <c r="B37" s="197"/>
      <c r="C37" s="31" t="s">
        <v>512</v>
      </c>
      <c r="D37" s="197"/>
      <c r="E37" s="197"/>
      <c r="F37" s="197"/>
      <c r="G37" s="84" t="s">
        <v>25</v>
      </c>
      <c r="H37" s="202">
        <v>49</v>
      </c>
      <c r="I37" s="235">
        <v>200</v>
      </c>
      <c r="J37" s="207">
        <f t="shared" ref="J37:J68" si="1">I37*H37</f>
        <v>9800</v>
      </c>
      <c r="K37" s="207">
        <v>140</v>
      </c>
      <c r="L37" s="207"/>
      <c r="M37" s="207"/>
      <c r="N37" s="207"/>
      <c r="O37" s="207"/>
      <c r="P37" s="234"/>
      <c r="Q37" s="197"/>
    </row>
    <row r="38" s="226" customFormat="1" ht="33" customHeight="1" spans="1:17">
      <c r="A38" s="230">
        <v>35</v>
      </c>
      <c r="B38" s="197"/>
      <c r="C38" s="31" t="s">
        <v>513</v>
      </c>
      <c r="D38" s="197"/>
      <c r="E38" s="197"/>
      <c r="F38" s="197"/>
      <c r="G38" s="84" t="s">
        <v>25</v>
      </c>
      <c r="H38" s="202">
        <v>49</v>
      </c>
      <c r="I38" s="235">
        <v>100</v>
      </c>
      <c r="J38" s="207">
        <f t="shared" si="1"/>
        <v>4900</v>
      </c>
      <c r="K38" s="207">
        <v>70</v>
      </c>
      <c r="L38" s="207"/>
      <c r="M38" s="207"/>
      <c r="N38" s="207"/>
      <c r="O38" s="207"/>
      <c r="P38" s="234"/>
      <c r="Q38" s="197"/>
    </row>
    <row r="39" s="226" customFormat="1" ht="36.75" spans="1:17">
      <c r="A39" s="230">
        <v>36</v>
      </c>
      <c r="B39" s="197"/>
      <c r="C39" s="31" t="s">
        <v>514</v>
      </c>
      <c r="D39" s="197"/>
      <c r="E39" s="197"/>
      <c r="F39" s="197" t="s">
        <v>501</v>
      </c>
      <c r="G39" s="84" t="s">
        <v>499</v>
      </c>
      <c r="H39" s="202">
        <v>49</v>
      </c>
      <c r="I39" s="235">
        <v>350</v>
      </c>
      <c r="J39" s="207">
        <f t="shared" si="1"/>
        <v>17150</v>
      </c>
      <c r="K39" s="207">
        <v>245</v>
      </c>
      <c r="L39" s="207"/>
      <c r="M39" s="207"/>
      <c r="N39" s="207"/>
      <c r="O39" s="207"/>
      <c r="P39" s="234"/>
      <c r="Q39" s="197"/>
    </row>
    <row r="40" s="226" customFormat="1" ht="33" customHeight="1" spans="1:17">
      <c r="A40" s="230">
        <v>37</v>
      </c>
      <c r="B40" s="197"/>
      <c r="C40" s="31" t="s">
        <v>515</v>
      </c>
      <c r="D40" s="197"/>
      <c r="E40" s="197"/>
      <c r="F40" s="197" t="s">
        <v>494</v>
      </c>
      <c r="G40" s="84" t="s">
        <v>499</v>
      </c>
      <c r="H40" s="202">
        <v>49</v>
      </c>
      <c r="I40" s="235">
        <v>420</v>
      </c>
      <c r="J40" s="207">
        <f t="shared" si="1"/>
        <v>20580</v>
      </c>
      <c r="K40" s="207">
        <v>294</v>
      </c>
      <c r="L40" s="207"/>
      <c r="M40" s="207"/>
      <c r="N40" s="207"/>
      <c r="O40" s="207"/>
      <c r="P40" s="234"/>
      <c r="Q40" s="197"/>
    </row>
    <row r="41" s="226" customFormat="1" ht="33" customHeight="1" spans="1:17">
      <c r="A41" s="230">
        <v>38</v>
      </c>
      <c r="B41" s="197"/>
      <c r="C41" s="31" t="s">
        <v>516</v>
      </c>
      <c r="D41" s="197"/>
      <c r="E41" s="197"/>
      <c r="F41" s="197"/>
      <c r="G41" s="84" t="s">
        <v>25</v>
      </c>
      <c r="H41" s="202">
        <v>49</v>
      </c>
      <c r="I41" s="235">
        <v>80</v>
      </c>
      <c r="J41" s="207">
        <f t="shared" si="1"/>
        <v>3920</v>
      </c>
      <c r="K41" s="207">
        <v>56</v>
      </c>
      <c r="L41" s="207"/>
      <c r="M41" s="207"/>
      <c r="N41" s="207"/>
      <c r="O41" s="207"/>
      <c r="P41" s="234"/>
      <c r="Q41" s="197"/>
    </row>
    <row r="42" s="226" customFormat="1" ht="33" customHeight="1" spans="1:17">
      <c r="A42" s="230">
        <v>39</v>
      </c>
      <c r="B42" s="197"/>
      <c r="C42" s="31" t="s">
        <v>517</v>
      </c>
      <c r="D42" s="197"/>
      <c r="E42" s="197"/>
      <c r="F42" s="197"/>
      <c r="G42" s="84" t="s">
        <v>25</v>
      </c>
      <c r="H42" s="202">
        <v>49</v>
      </c>
      <c r="I42" s="235">
        <v>60</v>
      </c>
      <c r="J42" s="207">
        <f t="shared" si="1"/>
        <v>2940</v>
      </c>
      <c r="K42" s="207">
        <v>42</v>
      </c>
      <c r="L42" s="207"/>
      <c r="M42" s="207"/>
      <c r="N42" s="207"/>
      <c r="O42" s="207"/>
      <c r="P42" s="234"/>
      <c r="Q42" s="197"/>
    </row>
    <row r="43" s="226" customFormat="1" ht="33" customHeight="1" spans="1:17">
      <c r="A43" s="230">
        <v>40</v>
      </c>
      <c r="B43" s="31" t="s">
        <v>522</v>
      </c>
      <c r="C43" s="31" t="s">
        <v>491</v>
      </c>
      <c r="D43" s="31" t="s">
        <v>492</v>
      </c>
      <c r="E43" s="31" t="s">
        <v>493</v>
      </c>
      <c r="F43" s="197" t="s">
        <v>494</v>
      </c>
      <c r="G43" s="84" t="s">
        <v>25</v>
      </c>
      <c r="H43" s="202">
        <v>11</v>
      </c>
      <c r="I43" s="235">
        <v>60</v>
      </c>
      <c r="J43" s="207">
        <f t="shared" si="1"/>
        <v>660</v>
      </c>
      <c r="K43" s="207">
        <v>42</v>
      </c>
      <c r="L43" s="207"/>
      <c r="M43" s="207"/>
      <c r="N43" s="207"/>
      <c r="O43" s="207"/>
      <c r="P43" s="234"/>
      <c r="Q43" s="197"/>
    </row>
    <row r="44" s="226" customFormat="1" ht="33" customHeight="1" spans="1:17">
      <c r="A44" s="230">
        <v>41</v>
      </c>
      <c r="B44" s="197"/>
      <c r="C44" s="31" t="s">
        <v>495</v>
      </c>
      <c r="D44" s="197"/>
      <c r="E44" s="197"/>
      <c r="F44" s="197"/>
      <c r="G44" s="84" t="s">
        <v>25</v>
      </c>
      <c r="H44" s="202">
        <v>11</v>
      </c>
      <c r="I44" s="235">
        <v>60</v>
      </c>
      <c r="J44" s="207">
        <f t="shared" si="1"/>
        <v>660</v>
      </c>
      <c r="K44" s="207">
        <v>42</v>
      </c>
      <c r="L44" s="207"/>
      <c r="M44" s="207"/>
      <c r="N44" s="207"/>
      <c r="O44" s="207"/>
      <c r="P44" s="236"/>
      <c r="Q44" s="197"/>
    </row>
    <row r="45" s="226" customFormat="1" ht="33" customHeight="1" spans="1:17">
      <c r="A45" s="230">
        <v>42</v>
      </c>
      <c r="B45" s="197"/>
      <c r="C45" s="31" t="s">
        <v>523</v>
      </c>
      <c r="D45" s="197"/>
      <c r="E45" s="197"/>
      <c r="F45" s="197"/>
      <c r="G45" s="84" t="s">
        <v>25</v>
      </c>
      <c r="H45" s="202">
        <v>11</v>
      </c>
      <c r="I45" s="235">
        <v>80</v>
      </c>
      <c r="J45" s="207">
        <f t="shared" si="1"/>
        <v>880</v>
      </c>
      <c r="K45" s="207">
        <v>56</v>
      </c>
      <c r="L45" s="207"/>
      <c r="M45" s="207"/>
      <c r="N45" s="207"/>
      <c r="O45" s="207"/>
      <c r="P45" s="234"/>
      <c r="Q45" s="197"/>
    </row>
    <row r="46" s="226" customFormat="1" ht="36.75" spans="1:17">
      <c r="A46" s="230">
        <v>43</v>
      </c>
      <c r="B46" s="197"/>
      <c r="C46" s="31" t="s">
        <v>524</v>
      </c>
      <c r="D46" s="197"/>
      <c r="E46" s="197"/>
      <c r="F46" s="197" t="s">
        <v>501</v>
      </c>
      <c r="G46" s="84" t="s">
        <v>25</v>
      </c>
      <c r="H46" s="202">
        <v>11</v>
      </c>
      <c r="I46" s="235">
        <v>200</v>
      </c>
      <c r="J46" s="207">
        <f t="shared" si="1"/>
        <v>2200</v>
      </c>
      <c r="K46" s="207">
        <v>140</v>
      </c>
      <c r="L46" s="207"/>
      <c r="M46" s="207"/>
      <c r="N46" s="207"/>
      <c r="O46" s="207"/>
      <c r="P46" s="234"/>
      <c r="Q46" s="31"/>
    </row>
    <row r="47" s="226" customFormat="1" ht="60.75" spans="1:17">
      <c r="A47" s="230">
        <v>44</v>
      </c>
      <c r="B47" s="197"/>
      <c r="C47" s="31" t="s">
        <v>525</v>
      </c>
      <c r="D47" s="197"/>
      <c r="E47" s="197"/>
      <c r="F47" s="197" t="s">
        <v>494</v>
      </c>
      <c r="G47" s="84" t="s">
        <v>25</v>
      </c>
      <c r="H47" s="202">
        <v>11</v>
      </c>
      <c r="I47" s="235">
        <v>200</v>
      </c>
      <c r="J47" s="207">
        <f t="shared" si="1"/>
        <v>2200</v>
      </c>
      <c r="K47" s="207">
        <v>140</v>
      </c>
      <c r="L47" s="207"/>
      <c r="M47" s="207"/>
      <c r="N47" s="207"/>
      <c r="O47" s="207"/>
      <c r="P47" s="236"/>
      <c r="Q47" s="31"/>
    </row>
    <row r="48" s="226" customFormat="1" ht="33" customHeight="1" spans="1:17">
      <c r="A48" s="230">
        <v>45</v>
      </c>
      <c r="B48" s="197"/>
      <c r="C48" s="31" t="s">
        <v>526</v>
      </c>
      <c r="D48" s="31" t="s">
        <v>527</v>
      </c>
      <c r="E48" s="31" t="s">
        <v>506</v>
      </c>
      <c r="F48" s="197" t="s">
        <v>494</v>
      </c>
      <c r="G48" s="84" t="s">
        <v>25</v>
      </c>
      <c r="H48" s="202">
        <v>11</v>
      </c>
      <c r="I48" s="235">
        <v>100</v>
      </c>
      <c r="J48" s="207">
        <f t="shared" si="1"/>
        <v>1100</v>
      </c>
      <c r="K48" s="207">
        <v>70</v>
      </c>
      <c r="L48" s="207"/>
      <c r="M48" s="207"/>
      <c r="N48" s="207"/>
      <c r="O48" s="207"/>
      <c r="P48" s="234"/>
      <c r="Q48" s="197"/>
    </row>
    <row r="49" s="226" customFormat="1" ht="33" customHeight="1" spans="1:17">
      <c r="A49" s="230">
        <v>46</v>
      </c>
      <c r="B49" s="197"/>
      <c r="C49" s="31" t="s">
        <v>528</v>
      </c>
      <c r="D49" s="197"/>
      <c r="E49" s="197"/>
      <c r="F49" s="197"/>
      <c r="G49" s="84" t="s">
        <v>25</v>
      </c>
      <c r="H49" s="202">
        <v>11</v>
      </c>
      <c r="I49" s="235">
        <v>100</v>
      </c>
      <c r="J49" s="207">
        <f t="shared" si="1"/>
        <v>1100</v>
      </c>
      <c r="K49" s="207">
        <v>70</v>
      </c>
      <c r="L49" s="207"/>
      <c r="M49" s="207"/>
      <c r="N49" s="207"/>
      <c r="O49" s="207"/>
      <c r="P49" s="234"/>
      <c r="Q49" s="197"/>
    </row>
    <row r="50" s="226" customFormat="1" ht="33" customHeight="1" spans="1:17">
      <c r="A50" s="230">
        <v>47</v>
      </c>
      <c r="B50" s="197"/>
      <c r="C50" s="31" t="s">
        <v>529</v>
      </c>
      <c r="D50" s="197"/>
      <c r="E50" s="197"/>
      <c r="F50" s="197"/>
      <c r="G50" s="84" t="s">
        <v>25</v>
      </c>
      <c r="H50" s="202">
        <v>11</v>
      </c>
      <c r="I50" s="235">
        <v>100</v>
      </c>
      <c r="J50" s="207">
        <f t="shared" si="1"/>
        <v>1100</v>
      </c>
      <c r="K50" s="207">
        <v>70</v>
      </c>
      <c r="L50" s="207"/>
      <c r="M50" s="207"/>
      <c r="N50" s="207"/>
      <c r="O50" s="207"/>
      <c r="P50" s="234"/>
      <c r="Q50" s="197"/>
    </row>
    <row r="51" s="226" customFormat="1" ht="33" customHeight="1" spans="1:17">
      <c r="A51" s="230">
        <v>48</v>
      </c>
      <c r="B51" s="197"/>
      <c r="C51" s="31" t="s">
        <v>512</v>
      </c>
      <c r="D51" s="197"/>
      <c r="E51" s="197"/>
      <c r="F51" s="197"/>
      <c r="G51" s="84" t="s">
        <v>25</v>
      </c>
      <c r="H51" s="202">
        <v>11</v>
      </c>
      <c r="I51" s="235">
        <v>80</v>
      </c>
      <c r="J51" s="207">
        <f t="shared" si="1"/>
        <v>880</v>
      </c>
      <c r="K51" s="207">
        <v>56</v>
      </c>
      <c r="L51" s="207"/>
      <c r="M51" s="207"/>
      <c r="N51" s="207"/>
      <c r="O51" s="207"/>
      <c r="P51" s="234"/>
      <c r="Q51" s="197"/>
    </row>
    <row r="52" s="226" customFormat="1" ht="33" customHeight="1" spans="1:17">
      <c r="A52" s="230">
        <v>49</v>
      </c>
      <c r="B52" s="197"/>
      <c r="C52" s="31" t="s">
        <v>513</v>
      </c>
      <c r="D52" s="197"/>
      <c r="E52" s="197"/>
      <c r="F52" s="197"/>
      <c r="G52" s="84" t="s">
        <v>25</v>
      </c>
      <c r="H52" s="202">
        <v>11</v>
      </c>
      <c r="I52" s="235">
        <v>100</v>
      </c>
      <c r="J52" s="207">
        <f t="shared" si="1"/>
        <v>1100</v>
      </c>
      <c r="K52" s="207">
        <v>70</v>
      </c>
      <c r="L52" s="207"/>
      <c r="M52" s="207"/>
      <c r="N52" s="207"/>
      <c r="O52" s="207"/>
      <c r="P52" s="234"/>
      <c r="Q52" s="197"/>
    </row>
    <row r="53" s="226" customFormat="1" ht="33" customHeight="1" spans="1:17">
      <c r="A53" s="230">
        <v>50</v>
      </c>
      <c r="B53" s="197"/>
      <c r="C53" s="31" t="s">
        <v>514</v>
      </c>
      <c r="D53" s="197"/>
      <c r="E53" s="197"/>
      <c r="F53" s="197" t="s">
        <v>501</v>
      </c>
      <c r="G53" s="84" t="s">
        <v>499</v>
      </c>
      <c r="H53" s="202">
        <v>11</v>
      </c>
      <c r="I53" s="235">
        <v>350</v>
      </c>
      <c r="J53" s="207">
        <f t="shared" si="1"/>
        <v>3850</v>
      </c>
      <c r="K53" s="207">
        <v>245</v>
      </c>
      <c r="L53" s="207"/>
      <c r="M53" s="207"/>
      <c r="N53" s="207"/>
      <c r="O53" s="207"/>
      <c r="P53" s="234"/>
      <c r="Q53" s="31"/>
    </row>
    <row r="54" s="226" customFormat="1" ht="33" customHeight="1" spans="1:17">
      <c r="A54" s="230">
        <v>51</v>
      </c>
      <c r="B54" s="197"/>
      <c r="C54" s="31" t="s">
        <v>515</v>
      </c>
      <c r="D54" s="197"/>
      <c r="E54" s="197"/>
      <c r="F54" s="197" t="s">
        <v>494</v>
      </c>
      <c r="G54" s="84" t="s">
        <v>499</v>
      </c>
      <c r="H54" s="202">
        <v>11</v>
      </c>
      <c r="I54" s="235">
        <v>420</v>
      </c>
      <c r="J54" s="207">
        <f t="shared" si="1"/>
        <v>4620</v>
      </c>
      <c r="K54" s="207">
        <v>294</v>
      </c>
      <c r="L54" s="207"/>
      <c r="M54" s="207"/>
      <c r="N54" s="207"/>
      <c r="O54" s="207"/>
      <c r="P54" s="234"/>
      <c r="Q54" s="197"/>
    </row>
    <row r="55" s="226" customFormat="1" ht="33" customHeight="1" spans="1:17">
      <c r="A55" s="230">
        <v>52</v>
      </c>
      <c r="B55" s="197"/>
      <c r="C55" s="31" t="s">
        <v>517</v>
      </c>
      <c r="D55" s="197"/>
      <c r="E55" s="197"/>
      <c r="F55" s="197"/>
      <c r="G55" s="84" t="s">
        <v>25</v>
      </c>
      <c r="H55" s="202">
        <v>11</v>
      </c>
      <c r="I55" s="233">
        <v>60</v>
      </c>
      <c r="J55" s="207">
        <f t="shared" si="1"/>
        <v>660</v>
      </c>
      <c r="K55" s="207">
        <v>42</v>
      </c>
      <c r="L55" s="207"/>
      <c r="M55" s="207"/>
      <c r="N55" s="207"/>
      <c r="O55" s="207"/>
      <c r="P55" s="234"/>
      <c r="Q55" s="197"/>
    </row>
    <row r="56" s="226" customFormat="1" ht="33" customHeight="1" spans="1:17">
      <c r="A56" s="230">
        <v>53</v>
      </c>
      <c r="B56" s="171" t="s">
        <v>530</v>
      </c>
      <c r="C56" s="31" t="s">
        <v>491</v>
      </c>
      <c r="D56" s="171" t="s">
        <v>527</v>
      </c>
      <c r="E56" s="171" t="s">
        <v>493</v>
      </c>
      <c r="F56" s="231" t="s">
        <v>494</v>
      </c>
      <c r="G56" s="84" t="s">
        <v>25</v>
      </c>
      <c r="H56" s="202">
        <v>5</v>
      </c>
      <c r="I56" s="235">
        <v>60</v>
      </c>
      <c r="J56" s="207">
        <f t="shared" si="1"/>
        <v>300</v>
      </c>
      <c r="K56" s="207">
        <v>42</v>
      </c>
      <c r="L56" s="207"/>
      <c r="M56" s="207"/>
      <c r="N56" s="207"/>
      <c r="O56" s="207"/>
      <c r="P56" s="234"/>
      <c r="Q56" s="197"/>
    </row>
    <row r="57" s="226" customFormat="1" ht="33" customHeight="1" spans="1:17">
      <c r="A57" s="230">
        <v>54</v>
      </c>
      <c r="B57" s="232"/>
      <c r="C57" s="31" t="s">
        <v>531</v>
      </c>
      <c r="D57" s="232"/>
      <c r="E57" s="232"/>
      <c r="F57" s="232"/>
      <c r="G57" s="84" t="s">
        <v>25</v>
      </c>
      <c r="H57" s="202">
        <v>5</v>
      </c>
      <c r="I57" s="235">
        <v>200</v>
      </c>
      <c r="J57" s="207">
        <f t="shared" si="1"/>
        <v>1000</v>
      </c>
      <c r="K57" s="207">
        <v>140</v>
      </c>
      <c r="L57" s="207"/>
      <c r="M57" s="207"/>
      <c r="N57" s="207"/>
      <c r="O57" s="207"/>
      <c r="P57" s="234"/>
      <c r="Q57" s="197"/>
    </row>
    <row r="58" s="226" customFormat="1" ht="33" customHeight="1" spans="1:17">
      <c r="A58" s="230">
        <v>55</v>
      </c>
      <c r="B58" s="232"/>
      <c r="C58" s="31" t="s">
        <v>532</v>
      </c>
      <c r="D58" s="232"/>
      <c r="E58" s="232"/>
      <c r="F58" s="232"/>
      <c r="G58" s="84" t="s">
        <v>25</v>
      </c>
      <c r="H58" s="202">
        <v>5</v>
      </c>
      <c r="I58" s="235">
        <v>200</v>
      </c>
      <c r="J58" s="207">
        <f t="shared" si="1"/>
        <v>1000</v>
      </c>
      <c r="K58" s="207">
        <v>140</v>
      </c>
      <c r="L58" s="207"/>
      <c r="M58" s="207"/>
      <c r="N58" s="207"/>
      <c r="O58" s="207"/>
      <c r="P58" s="234"/>
      <c r="Q58" s="197"/>
    </row>
    <row r="59" s="226" customFormat="1" ht="33" customHeight="1" spans="1:17">
      <c r="A59" s="230">
        <v>56</v>
      </c>
      <c r="B59" s="232"/>
      <c r="C59" s="31" t="s">
        <v>497</v>
      </c>
      <c r="D59" s="232"/>
      <c r="E59" s="232"/>
      <c r="F59" s="194"/>
      <c r="G59" s="84" t="s">
        <v>25</v>
      </c>
      <c r="H59" s="202">
        <v>5</v>
      </c>
      <c r="I59" s="235">
        <v>80</v>
      </c>
      <c r="J59" s="207">
        <f t="shared" si="1"/>
        <v>400</v>
      </c>
      <c r="K59" s="207">
        <v>56</v>
      </c>
      <c r="L59" s="207"/>
      <c r="M59" s="207"/>
      <c r="N59" s="207"/>
      <c r="O59" s="207"/>
      <c r="P59" s="234"/>
      <c r="Q59" s="197"/>
    </row>
    <row r="60" s="226" customFormat="1" ht="33" customHeight="1" spans="1:17">
      <c r="A60" s="230">
        <v>57</v>
      </c>
      <c r="B60" s="232"/>
      <c r="C60" s="31" t="s">
        <v>533</v>
      </c>
      <c r="D60" s="232"/>
      <c r="E60" s="232"/>
      <c r="F60" s="231" t="s">
        <v>501</v>
      </c>
      <c r="G60" s="84" t="s">
        <v>25</v>
      </c>
      <c r="H60" s="202">
        <v>5</v>
      </c>
      <c r="I60" s="233">
        <v>200</v>
      </c>
      <c r="J60" s="207">
        <f t="shared" si="1"/>
        <v>1000</v>
      </c>
      <c r="K60" s="207">
        <v>140</v>
      </c>
      <c r="L60" s="207"/>
      <c r="M60" s="207"/>
      <c r="N60" s="207"/>
      <c r="O60" s="207"/>
      <c r="P60" s="234"/>
      <c r="Q60" s="197"/>
    </row>
    <row r="61" s="226" customFormat="1" ht="33" customHeight="1" spans="1:17">
      <c r="A61" s="230">
        <v>58</v>
      </c>
      <c r="B61" s="232"/>
      <c r="C61" s="31" t="s">
        <v>503</v>
      </c>
      <c r="D61" s="232"/>
      <c r="E61" s="194"/>
      <c r="F61" s="194"/>
      <c r="G61" s="84" t="s">
        <v>25</v>
      </c>
      <c r="H61" s="202">
        <v>5</v>
      </c>
      <c r="I61" s="235">
        <v>150</v>
      </c>
      <c r="J61" s="207">
        <f t="shared" si="1"/>
        <v>750</v>
      </c>
      <c r="K61" s="207">
        <v>105</v>
      </c>
      <c r="L61" s="207"/>
      <c r="M61" s="207"/>
      <c r="N61" s="207"/>
      <c r="O61" s="207"/>
      <c r="P61" s="234"/>
      <c r="Q61" s="197"/>
    </row>
    <row r="62" s="226" customFormat="1" ht="33" customHeight="1" spans="1:17">
      <c r="A62" s="230">
        <v>59</v>
      </c>
      <c r="B62" s="232"/>
      <c r="C62" s="31" t="s">
        <v>534</v>
      </c>
      <c r="D62" s="232"/>
      <c r="E62" s="171" t="s">
        <v>506</v>
      </c>
      <c r="F62" s="231" t="s">
        <v>494</v>
      </c>
      <c r="G62" s="84" t="s">
        <v>25</v>
      </c>
      <c r="H62" s="202">
        <v>5</v>
      </c>
      <c r="I62" s="233">
        <v>200</v>
      </c>
      <c r="J62" s="207">
        <f t="shared" si="1"/>
        <v>1000</v>
      </c>
      <c r="K62" s="207">
        <v>140</v>
      </c>
      <c r="L62" s="207"/>
      <c r="M62" s="207"/>
      <c r="N62" s="207"/>
      <c r="O62" s="207"/>
      <c r="P62" s="234"/>
      <c r="Q62" s="197"/>
    </row>
    <row r="63" s="226" customFormat="1" ht="33" customHeight="1" spans="1:17">
      <c r="A63" s="230">
        <v>60</v>
      </c>
      <c r="B63" s="232"/>
      <c r="C63" s="31" t="s">
        <v>535</v>
      </c>
      <c r="D63" s="232"/>
      <c r="E63" s="232"/>
      <c r="F63" s="232"/>
      <c r="G63" s="84" t="s">
        <v>25</v>
      </c>
      <c r="H63" s="202">
        <v>5</v>
      </c>
      <c r="I63" s="233">
        <v>200</v>
      </c>
      <c r="J63" s="207">
        <f t="shared" si="1"/>
        <v>1000</v>
      </c>
      <c r="K63" s="207">
        <v>140</v>
      </c>
      <c r="L63" s="207"/>
      <c r="M63" s="207"/>
      <c r="N63" s="207"/>
      <c r="O63" s="207"/>
      <c r="P63" s="234"/>
      <c r="Q63" s="197"/>
    </row>
    <row r="64" s="226" customFormat="1" ht="33" customHeight="1" spans="1:17">
      <c r="A64" s="230">
        <v>61</v>
      </c>
      <c r="B64" s="232"/>
      <c r="C64" s="31" t="s">
        <v>513</v>
      </c>
      <c r="D64" s="232"/>
      <c r="E64" s="232"/>
      <c r="F64" s="232"/>
      <c r="G64" s="84" t="s">
        <v>25</v>
      </c>
      <c r="H64" s="202">
        <v>5</v>
      </c>
      <c r="I64" s="235">
        <v>100</v>
      </c>
      <c r="J64" s="207">
        <f t="shared" si="1"/>
        <v>500</v>
      </c>
      <c r="K64" s="207">
        <v>70</v>
      </c>
      <c r="L64" s="207"/>
      <c r="M64" s="207"/>
      <c r="N64" s="207"/>
      <c r="O64" s="207"/>
      <c r="P64" s="234"/>
      <c r="Q64" s="197"/>
    </row>
    <row r="65" s="226" customFormat="1" ht="33" customHeight="1" spans="1:17">
      <c r="A65" s="230">
        <v>62</v>
      </c>
      <c r="B65" s="232"/>
      <c r="C65" s="31" t="s">
        <v>514</v>
      </c>
      <c r="D65" s="232"/>
      <c r="E65" s="232"/>
      <c r="F65" s="232"/>
      <c r="G65" s="84" t="s">
        <v>25</v>
      </c>
      <c r="H65" s="202">
        <v>5</v>
      </c>
      <c r="I65" s="235">
        <v>350</v>
      </c>
      <c r="J65" s="207">
        <f t="shared" si="1"/>
        <v>1750</v>
      </c>
      <c r="K65" s="207">
        <v>245</v>
      </c>
      <c r="L65" s="207"/>
      <c r="M65" s="207"/>
      <c r="N65" s="207"/>
      <c r="O65" s="207"/>
      <c r="P65" s="234"/>
      <c r="Q65" s="197"/>
    </row>
    <row r="66" s="226" customFormat="1" ht="33" customHeight="1" spans="1:17">
      <c r="A66" s="230">
        <v>63</v>
      </c>
      <c r="B66" s="232"/>
      <c r="C66" s="31" t="s">
        <v>515</v>
      </c>
      <c r="D66" s="232"/>
      <c r="E66" s="232"/>
      <c r="F66" s="232"/>
      <c r="G66" s="84" t="s">
        <v>25</v>
      </c>
      <c r="H66" s="202">
        <v>5</v>
      </c>
      <c r="I66" s="235">
        <v>420</v>
      </c>
      <c r="J66" s="207">
        <f t="shared" si="1"/>
        <v>2100</v>
      </c>
      <c r="K66" s="207">
        <v>294</v>
      </c>
      <c r="L66" s="207"/>
      <c r="M66" s="207"/>
      <c r="N66" s="207"/>
      <c r="O66" s="207"/>
      <c r="P66" s="234"/>
      <c r="Q66" s="197"/>
    </row>
    <row r="67" s="226" customFormat="1" ht="33" customHeight="1" spans="1:17">
      <c r="A67" s="230">
        <v>64</v>
      </c>
      <c r="B67" s="232"/>
      <c r="C67" s="31" t="s">
        <v>516</v>
      </c>
      <c r="D67" s="232"/>
      <c r="E67" s="232"/>
      <c r="F67" s="232"/>
      <c r="G67" s="84" t="s">
        <v>25</v>
      </c>
      <c r="H67" s="202">
        <v>5</v>
      </c>
      <c r="I67" s="235">
        <v>80</v>
      </c>
      <c r="J67" s="207">
        <f t="shared" si="1"/>
        <v>400</v>
      </c>
      <c r="K67" s="207">
        <v>56</v>
      </c>
      <c r="L67" s="207"/>
      <c r="M67" s="207"/>
      <c r="N67" s="207"/>
      <c r="O67" s="207"/>
      <c r="P67" s="234"/>
      <c r="Q67" s="197"/>
    </row>
    <row r="68" s="226" customFormat="1" ht="33" customHeight="1" spans="1:17">
      <c r="A68" s="230">
        <v>65</v>
      </c>
      <c r="B68" s="194"/>
      <c r="C68" s="31" t="s">
        <v>517</v>
      </c>
      <c r="D68" s="194"/>
      <c r="E68" s="194"/>
      <c r="F68" s="194"/>
      <c r="G68" s="84" t="s">
        <v>25</v>
      </c>
      <c r="H68" s="202">
        <v>5</v>
      </c>
      <c r="I68" s="233">
        <v>60</v>
      </c>
      <c r="J68" s="207">
        <f t="shared" si="1"/>
        <v>300</v>
      </c>
      <c r="K68" s="207">
        <v>42</v>
      </c>
      <c r="L68" s="207"/>
      <c r="M68" s="207"/>
      <c r="N68" s="207"/>
      <c r="O68" s="207"/>
      <c r="P68" s="234"/>
      <c r="Q68" s="197"/>
    </row>
    <row r="69" s="226" customFormat="1" ht="33" customHeight="1" spans="1:17">
      <c r="A69" s="230">
        <v>66</v>
      </c>
      <c r="B69" s="31" t="s">
        <v>536</v>
      </c>
      <c r="C69" s="31" t="s">
        <v>491</v>
      </c>
      <c r="D69" s="31" t="s">
        <v>527</v>
      </c>
      <c r="E69" s="31" t="s">
        <v>493</v>
      </c>
      <c r="F69" s="197" t="s">
        <v>494</v>
      </c>
      <c r="G69" s="84" t="s">
        <v>25</v>
      </c>
      <c r="H69" s="202">
        <v>39</v>
      </c>
      <c r="I69" s="233">
        <v>60</v>
      </c>
      <c r="J69" s="207">
        <f t="shared" ref="J69:J100" si="2">I69*H69</f>
        <v>2340</v>
      </c>
      <c r="K69" s="207">
        <v>42</v>
      </c>
      <c r="L69" s="207"/>
      <c r="M69" s="207"/>
      <c r="N69" s="207"/>
      <c r="O69" s="207"/>
      <c r="P69" s="234"/>
      <c r="Q69" s="197"/>
    </row>
    <row r="70" s="226" customFormat="1" ht="33" customHeight="1" spans="1:17">
      <c r="A70" s="230">
        <v>67</v>
      </c>
      <c r="B70" s="197"/>
      <c r="C70" s="31" t="s">
        <v>495</v>
      </c>
      <c r="D70" s="197"/>
      <c r="E70" s="197"/>
      <c r="F70" s="197"/>
      <c r="G70" s="84" t="s">
        <v>25</v>
      </c>
      <c r="H70" s="202">
        <v>39</v>
      </c>
      <c r="I70" s="233">
        <v>60</v>
      </c>
      <c r="J70" s="207">
        <f t="shared" si="2"/>
        <v>2340</v>
      </c>
      <c r="K70" s="207">
        <v>42</v>
      </c>
      <c r="L70" s="207"/>
      <c r="M70" s="207"/>
      <c r="N70" s="207"/>
      <c r="O70" s="207"/>
      <c r="P70" s="234"/>
      <c r="Q70" s="197"/>
    </row>
    <row r="71" s="226" customFormat="1" ht="33" customHeight="1" spans="1:17">
      <c r="A71" s="230">
        <v>68</v>
      </c>
      <c r="B71" s="197"/>
      <c r="C71" s="31" t="s">
        <v>537</v>
      </c>
      <c r="D71" s="197"/>
      <c r="E71" s="197"/>
      <c r="F71" s="197"/>
      <c r="G71" s="84" t="s">
        <v>25</v>
      </c>
      <c r="H71" s="202">
        <v>39</v>
      </c>
      <c r="I71" s="233">
        <v>80</v>
      </c>
      <c r="J71" s="207">
        <f t="shared" si="2"/>
        <v>3120</v>
      </c>
      <c r="K71" s="207">
        <v>56</v>
      </c>
      <c r="L71" s="207"/>
      <c r="M71" s="207"/>
      <c r="N71" s="207"/>
      <c r="O71" s="207"/>
      <c r="P71" s="234"/>
      <c r="Q71" s="31"/>
    </row>
    <row r="72" s="226" customFormat="1" ht="33" customHeight="1" spans="1:17">
      <c r="A72" s="230">
        <v>69</v>
      </c>
      <c r="B72" s="197"/>
      <c r="C72" s="31" t="s">
        <v>538</v>
      </c>
      <c r="D72" s="197"/>
      <c r="E72" s="197"/>
      <c r="F72" s="197"/>
      <c r="G72" s="84" t="s">
        <v>25</v>
      </c>
      <c r="H72" s="202">
        <v>39</v>
      </c>
      <c r="I72" s="233">
        <v>200</v>
      </c>
      <c r="J72" s="207">
        <f t="shared" si="2"/>
        <v>7800</v>
      </c>
      <c r="K72" s="207">
        <v>140</v>
      </c>
      <c r="L72" s="207"/>
      <c r="M72" s="207"/>
      <c r="N72" s="207"/>
      <c r="O72" s="207"/>
      <c r="P72" s="234"/>
      <c r="Q72" s="197"/>
    </row>
    <row r="73" s="226" customFormat="1" ht="33" customHeight="1" spans="1:17">
      <c r="A73" s="230">
        <v>70</v>
      </c>
      <c r="B73" s="197"/>
      <c r="C73" s="31" t="s">
        <v>539</v>
      </c>
      <c r="D73" s="197"/>
      <c r="E73" s="197"/>
      <c r="F73" s="197"/>
      <c r="G73" s="84" t="s">
        <v>25</v>
      </c>
      <c r="H73" s="202">
        <v>39</v>
      </c>
      <c r="I73" s="233">
        <v>200</v>
      </c>
      <c r="J73" s="207">
        <f t="shared" si="2"/>
        <v>7800</v>
      </c>
      <c r="K73" s="207">
        <v>140</v>
      </c>
      <c r="L73" s="207"/>
      <c r="M73" s="207"/>
      <c r="N73" s="207"/>
      <c r="O73" s="207"/>
      <c r="P73" s="234"/>
      <c r="Q73" s="31"/>
    </row>
    <row r="74" s="226" customFormat="1" ht="33" customHeight="1" spans="1:17">
      <c r="A74" s="230">
        <v>71</v>
      </c>
      <c r="B74" s="197"/>
      <c r="C74" s="31" t="s">
        <v>540</v>
      </c>
      <c r="D74" s="197"/>
      <c r="E74" s="31" t="s">
        <v>506</v>
      </c>
      <c r="F74" s="197"/>
      <c r="G74" s="84" t="s">
        <v>25</v>
      </c>
      <c r="H74" s="202">
        <v>39</v>
      </c>
      <c r="I74" s="233">
        <v>200</v>
      </c>
      <c r="J74" s="207">
        <f t="shared" si="2"/>
        <v>7800</v>
      </c>
      <c r="K74" s="207">
        <v>140</v>
      </c>
      <c r="L74" s="207"/>
      <c r="M74" s="207"/>
      <c r="N74" s="207"/>
      <c r="O74" s="207"/>
      <c r="P74" s="234"/>
      <c r="Q74" s="197"/>
    </row>
    <row r="75" s="226" customFormat="1" ht="33" customHeight="1" spans="1:17">
      <c r="A75" s="230">
        <v>72</v>
      </c>
      <c r="B75" s="197"/>
      <c r="C75" s="31" t="s">
        <v>541</v>
      </c>
      <c r="D75" s="197"/>
      <c r="E75" s="197"/>
      <c r="F75" s="197"/>
      <c r="G75" s="84" t="s">
        <v>25</v>
      </c>
      <c r="H75" s="202">
        <v>39</v>
      </c>
      <c r="I75" s="233">
        <v>200</v>
      </c>
      <c r="J75" s="207">
        <f t="shared" si="2"/>
        <v>7800</v>
      </c>
      <c r="K75" s="207">
        <v>140</v>
      </c>
      <c r="L75" s="207"/>
      <c r="M75" s="207"/>
      <c r="N75" s="207"/>
      <c r="O75" s="207"/>
      <c r="P75" s="234"/>
      <c r="Q75" s="197"/>
    </row>
    <row r="76" s="226" customFormat="1" ht="33" customHeight="1" spans="1:17">
      <c r="A76" s="230">
        <v>73</v>
      </c>
      <c r="B76" s="197"/>
      <c r="C76" s="31" t="s">
        <v>542</v>
      </c>
      <c r="D76" s="197"/>
      <c r="E76" s="197"/>
      <c r="F76" s="197"/>
      <c r="G76" s="84" t="s">
        <v>25</v>
      </c>
      <c r="H76" s="202">
        <v>39</v>
      </c>
      <c r="I76" s="233">
        <v>100</v>
      </c>
      <c r="J76" s="207">
        <f t="shared" si="2"/>
        <v>3900</v>
      </c>
      <c r="K76" s="207">
        <v>70</v>
      </c>
      <c r="L76" s="207"/>
      <c r="M76" s="207"/>
      <c r="N76" s="207"/>
      <c r="O76" s="207"/>
      <c r="P76" s="234"/>
      <c r="Q76" s="197"/>
    </row>
    <row r="77" s="226" customFormat="1" ht="33" customHeight="1" spans="1:17">
      <c r="A77" s="230">
        <v>74</v>
      </c>
      <c r="B77" s="197"/>
      <c r="C77" s="31" t="s">
        <v>543</v>
      </c>
      <c r="D77" s="197"/>
      <c r="E77" s="197"/>
      <c r="F77" s="197"/>
      <c r="G77" s="84" t="s">
        <v>25</v>
      </c>
      <c r="H77" s="202">
        <v>39</v>
      </c>
      <c r="I77" s="233">
        <v>80</v>
      </c>
      <c r="J77" s="207">
        <f t="shared" si="2"/>
        <v>3120</v>
      </c>
      <c r="K77" s="207">
        <v>56</v>
      </c>
      <c r="L77" s="207"/>
      <c r="M77" s="207"/>
      <c r="N77" s="207"/>
      <c r="O77" s="207"/>
      <c r="P77" s="234"/>
      <c r="Q77" s="31"/>
    </row>
    <row r="78" s="226" customFormat="1" ht="33" customHeight="1" spans="1:17">
      <c r="A78" s="230">
        <v>75</v>
      </c>
      <c r="B78" s="197"/>
      <c r="C78" s="31" t="s">
        <v>513</v>
      </c>
      <c r="D78" s="197"/>
      <c r="E78" s="197"/>
      <c r="F78" s="197"/>
      <c r="G78" s="84" t="s">
        <v>25</v>
      </c>
      <c r="H78" s="202">
        <v>39</v>
      </c>
      <c r="I78" s="233">
        <v>100</v>
      </c>
      <c r="J78" s="207">
        <f t="shared" si="2"/>
        <v>3900</v>
      </c>
      <c r="K78" s="207">
        <v>70</v>
      </c>
      <c r="L78" s="207"/>
      <c r="M78" s="207"/>
      <c r="N78" s="207"/>
      <c r="O78" s="207"/>
      <c r="P78" s="234"/>
      <c r="Q78" s="197"/>
    </row>
    <row r="79" s="226" customFormat="1" ht="33" customHeight="1" spans="1:17">
      <c r="A79" s="230">
        <v>76</v>
      </c>
      <c r="B79" s="197"/>
      <c r="C79" s="31" t="s">
        <v>516</v>
      </c>
      <c r="D79" s="197"/>
      <c r="E79" s="197"/>
      <c r="F79" s="197"/>
      <c r="G79" s="84" t="s">
        <v>25</v>
      </c>
      <c r="H79" s="202">
        <v>39</v>
      </c>
      <c r="I79" s="235">
        <v>80</v>
      </c>
      <c r="J79" s="207">
        <f t="shared" si="2"/>
        <v>3120</v>
      </c>
      <c r="K79" s="207">
        <v>56</v>
      </c>
      <c r="L79" s="207"/>
      <c r="M79" s="207"/>
      <c r="N79" s="207"/>
      <c r="O79" s="207"/>
      <c r="P79" s="234"/>
      <c r="Q79" s="197"/>
    </row>
    <row r="80" s="226" customFormat="1" ht="33" customHeight="1" spans="1:17">
      <c r="A80" s="230">
        <v>77</v>
      </c>
      <c r="B80" s="197"/>
      <c r="C80" s="31" t="s">
        <v>517</v>
      </c>
      <c r="D80" s="197"/>
      <c r="E80" s="197"/>
      <c r="F80" s="197"/>
      <c r="G80" s="84" t="s">
        <v>25</v>
      </c>
      <c r="H80" s="202">
        <v>39</v>
      </c>
      <c r="I80" s="233">
        <v>60</v>
      </c>
      <c r="J80" s="207">
        <f t="shared" si="2"/>
        <v>2340</v>
      </c>
      <c r="K80" s="207">
        <v>42</v>
      </c>
      <c r="L80" s="207"/>
      <c r="M80" s="207"/>
      <c r="N80" s="207"/>
      <c r="O80" s="207"/>
      <c r="P80" s="234"/>
      <c r="Q80" s="197"/>
    </row>
    <row r="81" s="226" customFormat="1" ht="33" customHeight="1" spans="1:17">
      <c r="A81" s="230">
        <v>78</v>
      </c>
      <c r="B81" s="31" t="s">
        <v>544</v>
      </c>
      <c r="C81" s="31" t="s">
        <v>491</v>
      </c>
      <c r="D81" s="31" t="s">
        <v>492</v>
      </c>
      <c r="E81" s="31" t="s">
        <v>493</v>
      </c>
      <c r="F81" s="197" t="s">
        <v>494</v>
      </c>
      <c r="G81" s="84" t="s">
        <v>25</v>
      </c>
      <c r="H81" s="202">
        <v>33</v>
      </c>
      <c r="I81" s="233">
        <v>60</v>
      </c>
      <c r="J81" s="207">
        <f t="shared" si="2"/>
        <v>1980</v>
      </c>
      <c r="K81" s="207">
        <v>42</v>
      </c>
      <c r="L81" s="207"/>
      <c r="M81" s="207"/>
      <c r="N81" s="207"/>
      <c r="O81" s="207"/>
      <c r="P81" s="234"/>
      <c r="Q81" s="197"/>
    </row>
    <row r="82" s="226" customFormat="1" ht="33" customHeight="1" spans="1:17">
      <c r="A82" s="230">
        <v>79</v>
      </c>
      <c r="B82" s="197"/>
      <c r="C82" s="31" t="s">
        <v>545</v>
      </c>
      <c r="D82" s="197"/>
      <c r="E82" s="197"/>
      <c r="F82" s="197"/>
      <c r="G82" s="84" t="s">
        <v>209</v>
      </c>
      <c r="H82" s="202">
        <v>33</v>
      </c>
      <c r="I82" s="233">
        <v>80</v>
      </c>
      <c r="J82" s="207">
        <f t="shared" si="2"/>
        <v>2640</v>
      </c>
      <c r="K82" s="207">
        <v>56</v>
      </c>
      <c r="L82" s="207"/>
      <c r="M82" s="207"/>
      <c r="N82" s="207"/>
      <c r="O82" s="207"/>
      <c r="P82" s="234"/>
      <c r="Q82" s="197"/>
    </row>
    <row r="83" s="226" customFormat="1" ht="33" customHeight="1" spans="1:17">
      <c r="A83" s="230">
        <v>80</v>
      </c>
      <c r="B83" s="197"/>
      <c r="C83" s="31" t="s">
        <v>538</v>
      </c>
      <c r="D83" s="197"/>
      <c r="E83" s="197"/>
      <c r="F83" s="197"/>
      <c r="G83" s="84" t="s">
        <v>25</v>
      </c>
      <c r="H83" s="202">
        <v>33</v>
      </c>
      <c r="I83" s="233">
        <v>200</v>
      </c>
      <c r="J83" s="207">
        <f t="shared" si="2"/>
        <v>6600</v>
      </c>
      <c r="K83" s="207">
        <v>140</v>
      </c>
      <c r="L83" s="207"/>
      <c r="M83" s="207"/>
      <c r="N83" s="207"/>
      <c r="O83" s="207"/>
      <c r="P83" s="234"/>
      <c r="Q83" s="197"/>
    </row>
    <row r="84" s="226" customFormat="1" ht="33" customHeight="1" spans="1:17">
      <c r="A84" s="230">
        <v>81</v>
      </c>
      <c r="B84" s="197"/>
      <c r="C84" s="31" t="s">
        <v>546</v>
      </c>
      <c r="D84" s="197"/>
      <c r="E84" s="31" t="s">
        <v>506</v>
      </c>
      <c r="F84" s="197"/>
      <c r="G84" s="84" t="s">
        <v>25</v>
      </c>
      <c r="H84" s="202">
        <v>33</v>
      </c>
      <c r="I84" s="233">
        <v>60</v>
      </c>
      <c r="J84" s="207">
        <f t="shared" si="2"/>
        <v>1980</v>
      </c>
      <c r="K84" s="207">
        <v>42</v>
      </c>
      <c r="L84" s="207"/>
      <c r="M84" s="207"/>
      <c r="N84" s="207"/>
      <c r="O84" s="207"/>
      <c r="P84" s="234"/>
      <c r="Q84" s="197"/>
    </row>
    <row r="85" s="226" customFormat="1" ht="33" customHeight="1" spans="1:17">
      <c r="A85" s="230">
        <v>82</v>
      </c>
      <c r="B85" s="197"/>
      <c r="C85" s="31" t="s">
        <v>513</v>
      </c>
      <c r="D85" s="197"/>
      <c r="E85" s="197"/>
      <c r="F85" s="197"/>
      <c r="G85" s="84" t="s">
        <v>25</v>
      </c>
      <c r="H85" s="202">
        <v>33</v>
      </c>
      <c r="I85" s="233">
        <v>100</v>
      </c>
      <c r="J85" s="207">
        <f t="shared" si="2"/>
        <v>3300</v>
      </c>
      <c r="K85" s="207">
        <v>70</v>
      </c>
      <c r="L85" s="207"/>
      <c r="M85" s="207"/>
      <c r="N85" s="207"/>
      <c r="O85" s="207"/>
      <c r="P85" s="234"/>
      <c r="Q85" s="197"/>
    </row>
    <row r="86" s="226" customFormat="1" ht="33" customHeight="1" spans="1:17">
      <c r="A86" s="230">
        <v>83</v>
      </c>
      <c r="B86" s="197"/>
      <c r="C86" s="31" t="s">
        <v>516</v>
      </c>
      <c r="D86" s="197"/>
      <c r="E86" s="197"/>
      <c r="F86" s="197"/>
      <c r="G86" s="84" t="s">
        <v>25</v>
      </c>
      <c r="H86" s="202">
        <v>33</v>
      </c>
      <c r="I86" s="235">
        <v>80</v>
      </c>
      <c r="J86" s="207">
        <f t="shared" si="2"/>
        <v>2640</v>
      </c>
      <c r="K86" s="207">
        <v>56</v>
      </c>
      <c r="L86" s="207"/>
      <c r="M86" s="207"/>
      <c r="N86" s="207"/>
      <c r="O86" s="207"/>
      <c r="P86" s="234"/>
      <c r="Q86" s="197"/>
    </row>
    <row r="87" s="226" customFormat="1" ht="33" customHeight="1" spans="1:17">
      <c r="A87" s="230">
        <v>84</v>
      </c>
      <c r="B87" s="43" t="s">
        <v>547</v>
      </c>
      <c r="C87" s="31" t="s">
        <v>491</v>
      </c>
      <c r="D87" s="31" t="s">
        <v>492</v>
      </c>
      <c r="E87" s="31" t="s">
        <v>493</v>
      </c>
      <c r="F87" s="197" t="s">
        <v>494</v>
      </c>
      <c r="G87" s="84" t="s">
        <v>209</v>
      </c>
      <c r="H87" s="202">
        <v>16</v>
      </c>
      <c r="I87" s="233">
        <v>60</v>
      </c>
      <c r="J87" s="207">
        <f t="shared" si="2"/>
        <v>960</v>
      </c>
      <c r="K87" s="207">
        <v>42</v>
      </c>
      <c r="L87" s="207"/>
      <c r="M87" s="207"/>
      <c r="N87" s="207"/>
      <c r="O87" s="207"/>
      <c r="P87" s="234"/>
      <c r="Q87" s="197"/>
    </row>
    <row r="88" s="226" customFormat="1" ht="33" customHeight="1" spans="1:17">
      <c r="A88" s="230">
        <v>85</v>
      </c>
      <c r="B88" s="237"/>
      <c r="C88" s="31" t="s">
        <v>495</v>
      </c>
      <c r="D88" s="197"/>
      <c r="E88" s="197"/>
      <c r="F88" s="197"/>
      <c r="G88" s="84" t="s">
        <v>209</v>
      </c>
      <c r="H88" s="202">
        <v>16</v>
      </c>
      <c r="I88" s="233">
        <v>60</v>
      </c>
      <c r="J88" s="207">
        <f t="shared" si="2"/>
        <v>960</v>
      </c>
      <c r="K88" s="207">
        <v>42</v>
      </c>
      <c r="L88" s="207"/>
      <c r="M88" s="207"/>
      <c r="N88" s="207"/>
      <c r="O88" s="207"/>
      <c r="P88" s="234"/>
      <c r="Q88" s="197"/>
    </row>
    <row r="89" s="226" customFormat="1" ht="33" customHeight="1" spans="1:17">
      <c r="A89" s="230">
        <v>86</v>
      </c>
      <c r="B89" s="237"/>
      <c r="C89" s="31" t="s">
        <v>548</v>
      </c>
      <c r="D89" s="197"/>
      <c r="E89" s="197"/>
      <c r="F89" s="197"/>
      <c r="G89" s="84" t="s">
        <v>209</v>
      </c>
      <c r="H89" s="202">
        <v>16</v>
      </c>
      <c r="I89" s="233">
        <v>100</v>
      </c>
      <c r="J89" s="207">
        <f t="shared" si="2"/>
        <v>1600</v>
      </c>
      <c r="K89" s="207">
        <v>70</v>
      </c>
      <c r="L89" s="207"/>
      <c r="M89" s="207"/>
      <c r="N89" s="207"/>
      <c r="O89" s="207"/>
      <c r="P89" s="234"/>
      <c r="Q89" s="237"/>
    </row>
    <row r="90" s="226" customFormat="1" ht="33" customHeight="1" spans="1:17">
      <c r="A90" s="230">
        <v>87</v>
      </c>
      <c r="B90" s="237"/>
      <c r="C90" s="31" t="s">
        <v>539</v>
      </c>
      <c r="D90" s="197"/>
      <c r="E90" s="197"/>
      <c r="F90" s="197"/>
      <c r="G90" s="84" t="s">
        <v>209</v>
      </c>
      <c r="H90" s="202">
        <v>16</v>
      </c>
      <c r="I90" s="233">
        <v>200</v>
      </c>
      <c r="J90" s="207">
        <f t="shared" si="2"/>
        <v>3200</v>
      </c>
      <c r="K90" s="207">
        <v>140</v>
      </c>
      <c r="L90" s="207"/>
      <c r="M90" s="207"/>
      <c r="N90" s="207"/>
      <c r="O90" s="207"/>
      <c r="P90" s="234"/>
      <c r="Q90" s="246"/>
    </row>
    <row r="91" s="226" customFormat="1" ht="33" customHeight="1" spans="1:17">
      <c r="A91" s="230">
        <v>88</v>
      </c>
      <c r="B91" s="237"/>
      <c r="C91" s="31" t="s">
        <v>549</v>
      </c>
      <c r="D91" s="197"/>
      <c r="E91" s="31" t="s">
        <v>506</v>
      </c>
      <c r="F91" s="197"/>
      <c r="G91" s="84" t="s">
        <v>209</v>
      </c>
      <c r="H91" s="202">
        <v>16</v>
      </c>
      <c r="I91" s="233">
        <v>100</v>
      </c>
      <c r="J91" s="207">
        <f t="shared" si="2"/>
        <v>1600</v>
      </c>
      <c r="K91" s="207">
        <v>70</v>
      </c>
      <c r="L91" s="207"/>
      <c r="M91" s="207"/>
      <c r="N91" s="207"/>
      <c r="O91" s="207"/>
      <c r="P91" s="234"/>
      <c r="Q91" s="246"/>
    </row>
    <row r="92" s="226" customFormat="1" ht="33" customHeight="1" spans="1:17">
      <c r="A92" s="230">
        <v>89</v>
      </c>
      <c r="B92" s="237"/>
      <c r="C92" s="31" t="s">
        <v>550</v>
      </c>
      <c r="D92" s="197"/>
      <c r="E92" s="197"/>
      <c r="F92" s="197"/>
      <c r="G92" s="84" t="s">
        <v>209</v>
      </c>
      <c r="H92" s="202">
        <v>16</v>
      </c>
      <c r="I92" s="233">
        <v>200</v>
      </c>
      <c r="J92" s="207">
        <f t="shared" si="2"/>
        <v>3200</v>
      </c>
      <c r="K92" s="207">
        <v>140</v>
      </c>
      <c r="L92" s="207"/>
      <c r="M92" s="207"/>
      <c r="N92" s="207"/>
      <c r="O92" s="207"/>
      <c r="P92" s="234"/>
      <c r="Q92" s="246"/>
    </row>
    <row r="93" s="226" customFormat="1" ht="33" customHeight="1" spans="1:17">
      <c r="A93" s="230">
        <v>90</v>
      </c>
      <c r="B93" s="237"/>
      <c r="C93" s="31" t="s">
        <v>551</v>
      </c>
      <c r="D93" s="197"/>
      <c r="E93" s="197"/>
      <c r="F93" s="197"/>
      <c r="G93" s="84" t="s">
        <v>209</v>
      </c>
      <c r="H93" s="202">
        <v>16</v>
      </c>
      <c r="I93" s="233">
        <v>100</v>
      </c>
      <c r="J93" s="207">
        <f t="shared" si="2"/>
        <v>1600</v>
      </c>
      <c r="K93" s="207">
        <v>70</v>
      </c>
      <c r="L93" s="207"/>
      <c r="M93" s="207"/>
      <c r="N93" s="207"/>
      <c r="O93" s="207"/>
      <c r="P93" s="234"/>
      <c r="Q93" s="246"/>
    </row>
    <row r="94" s="226" customFormat="1" ht="33" customHeight="1" spans="1:17">
      <c r="A94" s="230">
        <v>91</v>
      </c>
      <c r="B94" s="237"/>
      <c r="C94" s="31" t="s">
        <v>552</v>
      </c>
      <c r="D94" s="197"/>
      <c r="E94" s="197"/>
      <c r="F94" s="197"/>
      <c r="G94" s="84" t="s">
        <v>209</v>
      </c>
      <c r="H94" s="202">
        <v>16</v>
      </c>
      <c r="I94" s="233">
        <v>100</v>
      </c>
      <c r="J94" s="207">
        <f t="shared" si="2"/>
        <v>1600</v>
      </c>
      <c r="K94" s="207">
        <v>70</v>
      </c>
      <c r="L94" s="207"/>
      <c r="M94" s="207"/>
      <c r="N94" s="207"/>
      <c r="O94" s="207"/>
      <c r="P94" s="234"/>
      <c r="Q94" s="246"/>
    </row>
    <row r="95" s="226" customFormat="1" ht="33" customHeight="1" spans="1:17">
      <c r="A95" s="230">
        <v>92</v>
      </c>
      <c r="B95" s="237"/>
      <c r="C95" s="31" t="s">
        <v>513</v>
      </c>
      <c r="D95" s="197"/>
      <c r="E95" s="197"/>
      <c r="F95" s="197"/>
      <c r="G95" s="84" t="s">
        <v>209</v>
      </c>
      <c r="H95" s="202">
        <v>16</v>
      </c>
      <c r="I95" s="233">
        <v>100</v>
      </c>
      <c r="J95" s="207">
        <f t="shared" si="2"/>
        <v>1600</v>
      </c>
      <c r="K95" s="207">
        <v>70</v>
      </c>
      <c r="L95" s="207"/>
      <c r="M95" s="207"/>
      <c r="N95" s="207"/>
      <c r="O95" s="207"/>
      <c r="P95" s="234"/>
      <c r="Q95" s="246"/>
    </row>
    <row r="96" s="226" customFormat="1" ht="33" customHeight="1" spans="1:17">
      <c r="A96" s="230">
        <v>93</v>
      </c>
      <c r="B96" s="237"/>
      <c r="C96" s="31" t="s">
        <v>514</v>
      </c>
      <c r="D96" s="197"/>
      <c r="E96" s="197"/>
      <c r="F96" s="197"/>
      <c r="G96" s="84" t="s">
        <v>209</v>
      </c>
      <c r="H96" s="202">
        <v>16</v>
      </c>
      <c r="I96" s="233">
        <v>350</v>
      </c>
      <c r="J96" s="207">
        <f t="shared" si="2"/>
        <v>5600</v>
      </c>
      <c r="K96" s="207">
        <v>245</v>
      </c>
      <c r="L96" s="207"/>
      <c r="M96" s="207"/>
      <c r="N96" s="207"/>
      <c r="O96" s="207"/>
      <c r="P96" s="234"/>
      <c r="Q96" s="247"/>
    </row>
    <row r="97" s="226" customFormat="1" ht="33" customHeight="1" spans="1:17">
      <c r="A97" s="230">
        <v>94</v>
      </c>
      <c r="B97" s="237"/>
      <c r="C97" s="31" t="s">
        <v>517</v>
      </c>
      <c r="D97" s="197"/>
      <c r="E97" s="197"/>
      <c r="F97" s="197"/>
      <c r="G97" s="84" t="s">
        <v>209</v>
      </c>
      <c r="H97" s="202">
        <v>16</v>
      </c>
      <c r="I97" s="233">
        <v>60</v>
      </c>
      <c r="J97" s="207">
        <f t="shared" si="2"/>
        <v>960</v>
      </c>
      <c r="K97" s="207">
        <v>42</v>
      </c>
      <c r="L97" s="207"/>
      <c r="M97" s="207"/>
      <c r="N97" s="207"/>
      <c r="O97" s="207"/>
      <c r="P97" s="234"/>
      <c r="Q97" s="246"/>
    </row>
    <row r="98" s="226" customFormat="1" ht="33" customHeight="1" spans="1:17">
      <c r="A98" s="230">
        <v>95</v>
      </c>
      <c r="B98" s="84" t="s">
        <v>553</v>
      </c>
      <c r="C98" s="31" t="s">
        <v>491</v>
      </c>
      <c r="D98" s="31" t="s">
        <v>492</v>
      </c>
      <c r="E98" s="31" t="s">
        <v>493</v>
      </c>
      <c r="F98" s="197" t="s">
        <v>494</v>
      </c>
      <c r="G98" s="84" t="s">
        <v>209</v>
      </c>
      <c r="H98" s="202">
        <v>5</v>
      </c>
      <c r="I98" s="233">
        <v>60</v>
      </c>
      <c r="J98" s="207">
        <f t="shared" si="2"/>
        <v>300</v>
      </c>
      <c r="K98" s="207">
        <v>42</v>
      </c>
      <c r="L98" s="207"/>
      <c r="M98" s="207"/>
      <c r="N98" s="207"/>
      <c r="O98" s="207"/>
      <c r="P98" s="234"/>
      <c r="Q98" s="197"/>
    </row>
    <row r="99" s="226" customFormat="1" ht="33" customHeight="1" spans="1:17">
      <c r="A99" s="230">
        <v>96</v>
      </c>
      <c r="B99" s="202"/>
      <c r="C99" s="31" t="s">
        <v>554</v>
      </c>
      <c r="D99" s="197"/>
      <c r="E99" s="197"/>
      <c r="F99" s="197"/>
      <c r="G99" s="84" t="s">
        <v>209</v>
      </c>
      <c r="H99" s="202">
        <v>5</v>
      </c>
      <c r="I99" s="233">
        <v>100</v>
      </c>
      <c r="J99" s="207">
        <f t="shared" si="2"/>
        <v>500</v>
      </c>
      <c r="K99" s="207">
        <v>70</v>
      </c>
      <c r="L99" s="207"/>
      <c r="M99" s="207"/>
      <c r="N99" s="207"/>
      <c r="O99" s="207"/>
      <c r="P99" s="234"/>
      <c r="Q99" s="246"/>
    </row>
    <row r="100" s="226" customFormat="1" ht="33" customHeight="1" spans="1:17">
      <c r="A100" s="230">
        <v>97</v>
      </c>
      <c r="B100" s="202"/>
      <c r="C100" s="31" t="s">
        <v>538</v>
      </c>
      <c r="D100" s="197"/>
      <c r="E100" s="197"/>
      <c r="F100" s="197"/>
      <c r="G100" s="84" t="s">
        <v>209</v>
      </c>
      <c r="H100" s="202">
        <v>5</v>
      </c>
      <c r="I100" s="233">
        <v>200</v>
      </c>
      <c r="J100" s="207">
        <f t="shared" si="2"/>
        <v>1000</v>
      </c>
      <c r="K100" s="207">
        <v>140</v>
      </c>
      <c r="L100" s="207"/>
      <c r="M100" s="207"/>
      <c r="N100" s="207"/>
      <c r="O100" s="207"/>
      <c r="P100" s="234"/>
      <c r="Q100" s="246"/>
    </row>
    <row r="101" s="226" customFormat="1" ht="33" customHeight="1" spans="1:17">
      <c r="A101" s="230">
        <v>98</v>
      </c>
      <c r="B101" s="202"/>
      <c r="C101" s="31" t="s">
        <v>555</v>
      </c>
      <c r="D101" s="197"/>
      <c r="E101" s="31" t="s">
        <v>506</v>
      </c>
      <c r="F101" s="197"/>
      <c r="G101" s="84" t="s">
        <v>209</v>
      </c>
      <c r="H101" s="202">
        <v>5</v>
      </c>
      <c r="I101" s="233">
        <v>80</v>
      </c>
      <c r="J101" s="207">
        <f t="shared" ref="J101:J123" si="3">I101*H101</f>
        <v>400</v>
      </c>
      <c r="K101" s="207">
        <v>56</v>
      </c>
      <c r="L101" s="207"/>
      <c r="M101" s="207"/>
      <c r="N101" s="207"/>
      <c r="O101" s="207"/>
      <c r="P101" s="234"/>
      <c r="Q101" s="197"/>
    </row>
    <row r="102" s="226" customFormat="1" ht="33" customHeight="1" spans="1:17">
      <c r="A102" s="230">
        <v>99</v>
      </c>
      <c r="B102" s="202"/>
      <c r="C102" s="31" t="s">
        <v>513</v>
      </c>
      <c r="D102" s="197"/>
      <c r="E102" s="197"/>
      <c r="F102" s="197"/>
      <c r="G102" s="84" t="s">
        <v>209</v>
      </c>
      <c r="H102" s="202">
        <v>5</v>
      </c>
      <c r="I102" s="233">
        <v>100</v>
      </c>
      <c r="J102" s="207">
        <f t="shared" si="3"/>
        <v>500</v>
      </c>
      <c r="K102" s="207">
        <v>70</v>
      </c>
      <c r="L102" s="207"/>
      <c r="M102" s="207"/>
      <c r="N102" s="207"/>
      <c r="O102" s="207"/>
      <c r="P102" s="234"/>
      <c r="Q102" s="247"/>
    </row>
    <row r="103" s="226" customFormat="1" ht="33" customHeight="1" spans="1:17">
      <c r="A103" s="230">
        <v>100</v>
      </c>
      <c r="B103" s="202"/>
      <c r="C103" s="31" t="s">
        <v>514</v>
      </c>
      <c r="D103" s="197"/>
      <c r="E103" s="197"/>
      <c r="F103" s="197"/>
      <c r="G103" s="84" t="s">
        <v>209</v>
      </c>
      <c r="H103" s="202">
        <v>5</v>
      </c>
      <c r="I103" s="233">
        <v>350</v>
      </c>
      <c r="J103" s="207">
        <f t="shared" si="3"/>
        <v>1750</v>
      </c>
      <c r="K103" s="207">
        <v>245</v>
      </c>
      <c r="L103" s="207"/>
      <c r="M103" s="207"/>
      <c r="N103" s="207"/>
      <c r="O103" s="207"/>
      <c r="P103" s="234"/>
      <c r="Q103" s="246"/>
    </row>
    <row r="104" s="226" customFormat="1" ht="33" customHeight="1" spans="1:17">
      <c r="A104" s="230">
        <v>101</v>
      </c>
      <c r="B104" s="202"/>
      <c r="C104" s="31" t="s">
        <v>515</v>
      </c>
      <c r="D104" s="197"/>
      <c r="E104" s="197"/>
      <c r="F104" s="197"/>
      <c r="G104" s="84" t="s">
        <v>209</v>
      </c>
      <c r="H104" s="202">
        <v>5</v>
      </c>
      <c r="I104" s="233">
        <v>420</v>
      </c>
      <c r="J104" s="207">
        <f t="shared" si="3"/>
        <v>2100</v>
      </c>
      <c r="K104" s="207">
        <v>294</v>
      </c>
      <c r="L104" s="207"/>
      <c r="M104" s="207"/>
      <c r="N104" s="207"/>
      <c r="O104" s="207"/>
      <c r="P104" s="234"/>
      <c r="Q104" s="197"/>
    </row>
    <row r="105" s="226" customFormat="1" ht="33" customHeight="1" spans="1:17">
      <c r="A105" s="230">
        <v>102</v>
      </c>
      <c r="B105" s="91" t="s">
        <v>556</v>
      </c>
      <c r="C105" s="234" t="s">
        <v>557</v>
      </c>
      <c r="D105" s="31" t="s">
        <v>492</v>
      </c>
      <c r="E105" s="31" t="s">
        <v>558</v>
      </c>
      <c r="F105" s="231" t="s">
        <v>494</v>
      </c>
      <c r="G105" s="84" t="s">
        <v>209</v>
      </c>
      <c r="H105" s="202">
        <v>5</v>
      </c>
      <c r="I105" s="233">
        <v>200</v>
      </c>
      <c r="J105" s="207">
        <f t="shared" si="3"/>
        <v>1000</v>
      </c>
      <c r="K105" s="207">
        <v>140</v>
      </c>
      <c r="L105" s="207"/>
      <c r="M105" s="207"/>
      <c r="N105" s="207"/>
      <c r="O105" s="207"/>
      <c r="P105" s="234"/>
      <c r="Q105" s="246"/>
    </row>
    <row r="106" s="226" customFormat="1" ht="33" customHeight="1" spans="1:17">
      <c r="A106" s="230">
        <v>103</v>
      </c>
      <c r="B106" s="238"/>
      <c r="C106" s="234" t="s">
        <v>559</v>
      </c>
      <c r="D106" s="197"/>
      <c r="E106" s="197"/>
      <c r="F106" s="232"/>
      <c r="G106" s="84" t="s">
        <v>209</v>
      </c>
      <c r="H106" s="202">
        <v>5</v>
      </c>
      <c r="I106" s="233">
        <v>200</v>
      </c>
      <c r="J106" s="207">
        <f t="shared" si="3"/>
        <v>1000</v>
      </c>
      <c r="K106" s="207">
        <v>140</v>
      </c>
      <c r="L106" s="207"/>
      <c r="M106" s="207"/>
      <c r="N106" s="207"/>
      <c r="O106" s="207"/>
      <c r="P106" s="234"/>
      <c r="Q106" s="246"/>
    </row>
    <row r="107" s="226" customFormat="1" ht="33" customHeight="1" spans="1:17">
      <c r="A107" s="230">
        <v>104</v>
      </c>
      <c r="B107" s="238"/>
      <c r="C107" s="234" t="s">
        <v>560</v>
      </c>
      <c r="D107" s="197"/>
      <c r="E107" s="31" t="s">
        <v>561</v>
      </c>
      <c r="F107" s="232"/>
      <c r="G107" s="84" t="s">
        <v>209</v>
      </c>
      <c r="H107" s="202">
        <v>5</v>
      </c>
      <c r="I107" s="233">
        <v>200</v>
      </c>
      <c r="J107" s="207">
        <f t="shared" si="3"/>
        <v>1000</v>
      </c>
      <c r="K107" s="207">
        <v>140</v>
      </c>
      <c r="L107" s="207"/>
      <c r="M107" s="207"/>
      <c r="N107" s="207"/>
      <c r="O107" s="207"/>
      <c r="P107" s="234"/>
      <c r="Q107" s="246"/>
    </row>
    <row r="108" s="226" customFormat="1" ht="33" customHeight="1" spans="1:17">
      <c r="A108" s="230">
        <v>105</v>
      </c>
      <c r="B108" s="238"/>
      <c r="C108" s="234" t="s">
        <v>562</v>
      </c>
      <c r="D108" s="197"/>
      <c r="E108" s="197"/>
      <c r="F108" s="232"/>
      <c r="G108" s="84" t="s">
        <v>209</v>
      </c>
      <c r="H108" s="202">
        <v>5</v>
      </c>
      <c r="I108" s="233">
        <v>200</v>
      </c>
      <c r="J108" s="207">
        <f t="shared" si="3"/>
        <v>1000</v>
      </c>
      <c r="K108" s="207">
        <v>140</v>
      </c>
      <c r="L108" s="207"/>
      <c r="M108" s="207"/>
      <c r="N108" s="207"/>
      <c r="O108" s="207"/>
      <c r="P108" s="234"/>
      <c r="Q108" s="246"/>
    </row>
    <row r="109" s="226" customFormat="1" ht="33" customHeight="1" spans="1:17">
      <c r="A109" s="230">
        <v>106</v>
      </c>
      <c r="B109" s="238"/>
      <c r="C109" s="234" t="s">
        <v>563</v>
      </c>
      <c r="D109" s="197"/>
      <c r="E109" s="31" t="s">
        <v>564</v>
      </c>
      <c r="F109" s="232"/>
      <c r="G109" s="84" t="s">
        <v>209</v>
      </c>
      <c r="H109" s="202">
        <v>5</v>
      </c>
      <c r="I109" s="233">
        <v>200</v>
      </c>
      <c r="J109" s="207">
        <f t="shared" si="3"/>
        <v>1000</v>
      </c>
      <c r="K109" s="207">
        <v>140</v>
      </c>
      <c r="L109" s="207"/>
      <c r="M109" s="207"/>
      <c r="N109" s="207"/>
      <c r="O109" s="207"/>
      <c r="P109" s="234"/>
      <c r="Q109" s="246"/>
    </row>
    <row r="110" s="226" customFormat="1" ht="33" customHeight="1" spans="1:17">
      <c r="A110" s="230">
        <v>107</v>
      </c>
      <c r="B110" s="94"/>
      <c r="C110" s="234" t="s">
        <v>565</v>
      </c>
      <c r="D110" s="197"/>
      <c r="E110" s="197"/>
      <c r="F110" s="194"/>
      <c r="G110" s="84" t="s">
        <v>209</v>
      </c>
      <c r="H110" s="202">
        <v>5</v>
      </c>
      <c r="I110" s="233">
        <v>200</v>
      </c>
      <c r="J110" s="207">
        <f t="shared" si="3"/>
        <v>1000</v>
      </c>
      <c r="K110" s="207">
        <v>140</v>
      </c>
      <c r="L110" s="207"/>
      <c r="M110" s="207"/>
      <c r="N110" s="207"/>
      <c r="O110" s="207"/>
      <c r="P110" s="234"/>
      <c r="Q110" s="246"/>
    </row>
    <row r="111" s="226" customFormat="1" ht="33" customHeight="1" spans="1:17">
      <c r="A111" s="230">
        <v>108</v>
      </c>
      <c r="B111" s="239" t="s">
        <v>566</v>
      </c>
      <c r="C111" s="31" t="s">
        <v>567</v>
      </c>
      <c r="D111" s="171" t="s">
        <v>492</v>
      </c>
      <c r="E111" s="31" t="s">
        <v>558</v>
      </c>
      <c r="F111" s="232" t="s">
        <v>494</v>
      </c>
      <c r="G111" s="133" t="s">
        <v>209</v>
      </c>
      <c r="H111" s="194">
        <v>33</v>
      </c>
      <c r="I111" s="233">
        <v>200</v>
      </c>
      <c r="J111" s="207">
        <f t="shared" si="3"/>
        <v>6600</v>
      </c>
      <c r="K111" s="207">
        <v>140</v>
      </c>
      <c r="L111" s="207"/>
      <c r="M111" s="207"/>
      <c r="N111" s="207"/>
      <c r="O111" s="207"/>
      <c r="P111" s="234"/>
      <c r="Q111" s="246"/>
    </row>
    <row r="112" s="226" customFormat="1" ht="33" customHeight="1" spans="1:17">
      <c r="A112" s="230">
        <v>109</v>
      </c>
      <c r="B112" s="239"/>
      <c r="C112" s="31" t="s">
        <v>568</v>
      </c>
      <c r="D112" s="173"/>
      <c r="E112" s="197"/>
      <c r="F112" s="232"/>
      <c r="G112" s="133" t="s">
        <v>209</v>
      </c>
      <c r="H112" s="194">
        <v>33</v>
      </c>
      <c r="I112" s="233">
        <v>200</v>
      </c>
      <c r="J112" s="207">
        <f t="shared" si="3"/>
        <v>6600</v>
      </c>
      <c r="K112" s="207">
        <v>140</v>
      </c>
      <c r="L112" s="207"/>
      <c r="M112" s="207"/>
      <c r="N112" s="207"/>
      <c r="O112" s="207"/>
      <c r="P112" s="234"/>
      <c r="Q112" s="246"/>
    </row>
    <row r="113" s="226" customFormat="1" ht="33" customHeight="1" spans="1:17">
      <c r="A113" s="230">
        <v>110</v>
      </c>
      <c r="B113" s="239"/>
      <c r="C113" s="31" t="s">
        <v>569</v>
      </c>
      <c r="D113" s="173"/>
      <c r="E113" s="31" t="s">
        <v>561</v>
      </c>
      <c r="F113" s="232"/>
      <c r="G113" s="133" t="s">
        <v>209</v>
      </c>
      <c r="H113" s="194">
        <v>33</v>
      </c>
      <c r="I113" s="233">
        <v>200</v>
      </c>
      <c r="J113" s="207">
        <f t="shared" si="3"/>
        <v>6600</v>
      </c>
      <c r="K113" s="207">
        <v>140</v>
      </c>
      <c r="L113" s="207"/>
      <c r="M113" s="207"/>
      <c r="N113" s="207"/>
      <c r="O113" s="207"/>
      <c r="P113" s="234"/>
      <c r="Q113" s="246"/>
    </row>
    <row r="114" s="226" customFormat="1" ht="33" customHeight="1" spans="1:17">
      <c r="A114" s="230">
        <v>111</v>
      </c>
      <c r="B114" s="239"/>
      <c r="C114" s="31" t="s">
        <v>560</v>
      </c>
      <c r="D114" s="173"/>
      <c r="E114" s="197"/>
      <c r="F114" s="232"/>
      <c r="G114" s="133" t="s">
        <v>209</v>
      </c>
      <c r="H114" s="194">
        <v>33</v>
      </c>
      <c r="I114" s="233">
        <v>200</v>
      </c>
      <c r="J114" s="207">
        <f t="shared" si="3"/>
        <v>6600</v>
      </c>
      <c r="K114" s="207">
        <v>140</v>
      </c>
      <c r="L114" s="207"/>
      <c r="M114" s="207"/>
      <c r="N114" s="207"/>
      <c r="O114" s="207"/>
      <c r="P114" s="234"/>
      <c r="Q114" s="246"/>
    </row>
    <row r="115" s="226" customFormat="1" ht="33" customHeight="1" spans="1:17">
      <c r="A115" s="230">
        <v>112</v>
      </c>
      <c r="B115" s="239"/>
      <c r="C115" s="31" t="s">
        <v>570</v>
      </c>
      <c r="D115" s="195"/>
      <c r="E115" s="31" t="s">
        <v>564</v>
      </c>
      <c r="F115" s="194"/>
      <c r="G115" s="133" t="s">
        <v>209</v>
      </c>
      <c r="H115" s="194">
        <v>33</v>
      </c>
      <c r="I115" s="233">
        <v>200</v>
      </c>
      <c r="J115" s="207">
        <f t="shared" si="3"/>
        <v>6600</v>
      </c>
      <c r="K115" s="207">
        <v>140</v>
      </c>
      <c r="L115" s="207"/>
      <c r="M115" s="207"/>
      <c r="N115" s="207"/>
      <c r="O115" s="207"/>
      <c r="P115" s="234"/>
      <c r="Q115" s="246"/>
    </row>
    <row r="116" s="226" customFormat="1" ht="33" customHeight="1" spans="1:17">
      <c r="A116" s="230">
        <v>113</v>
      </c>
      <c r="B116" s="239" t="s">
        <v>571</v>
      </c>
      <c r="C116" s="31" t="s">
        <v>558</v>
      </c>
      <c r="D116" s="171" t="s">
        <v>492</v>
      </c>
      <c r="E116" s="31" t="s">
        <v>558</v>
      </c>
      <c r="F116" s="232" t="s">
        <v>494</v>
      </c>
      <c r="G116" s="133" t="s">
        <v>209</v>
      </c>
      <c r="H116" s="194">
        <v>33</v>
      </c>
      <c r="I116" s="233">
        <v>200</v>
      </c>
      <c r="J116" s="207">
        <f t="shared" si="3"/>
        <v>6600</v>
      </c>
      <c r="K116" s="207">
        <v>140</v>
      </c>
      <c r="L116" s="207"/>
      <c r="M116" s="207"/>
      <c r="N116" s="207"/>
      <c r="O116" s="207"/>
      <c r="P116" s="234"/>
      <c r="Q116" s="246"/>
    </row>
    <row r="117" s="226" customFormat="1" ht="33" customHeight="1" spans="1:17">
      <c r="A117" s="230">
        <v>114</v>
      </c>
      <c r="B117" s="239"/>
      <c r="C117" s="31" t="s">
        <v>561</v>
      </c>
      <c r="D117" s="232"/>
      <c r="E117" s="31" t="s">
        <v>561</v>
      </c>
      <c r="F117" s="232"/>
      <c r="G117" s="133" t="s">
        <v>209</v>
      </c>
      <c r="H117" s="194">
        <v>33</v>
      </c>
      <c r="I117" s="233">
        <v>200</v>
      </c>
      <c r="J117" s="207">
        <f t="shared" si="3"/>
        <v>6600</v>
      </c>
      <c r="K117" s="207">
        <v>140</v>
      </c>
      <c r="L117" s="207"/>
      <c r="M117" s="207"/>
      <c r="N117" s="207"/>
      <c r="O117" s="207"/>
      <c r="P117" s="234"/>
      <c r="Q117" s="246"/>
    </row>
    <row r="118" s="226" customFormat="1" ht="33" customHeight="1" spans="1:17">
      <c r="A118" s="230">
        <v>115</v>
      </c>
      <c r="B118" s="239"/>
      <c r="C118" s="31" t="s">
        <v>572</v>
      </c>
      <c r="D118" s="232"/>
      <c r="E118" s="31" t="s">
        <v>572</v>
      </c>
      <c r="F118" s="232"/>
      <c r="G118" s="133" t="s">
        <v>209</v>
      </c>
      <c r="H118" s="194">
        <v>33</v>
      </c>
      <c r="I118" s="233">
        <v>200</v>
      </c>
      <c r="J118" s="207">
        <f t="shared" si="3"/>
        <v>6600</v>
      </c>
      <c r="K118" s="207">
        <v>140</v>
      </c>
      <c r="L118" s="207"/>
      <c r="M118" s="207"/>
      <c r="N118" s="207"/>
      <c r="O118" s="207"/>
      <c r="P118" s="234"/>
      <c r="Q118" s="246"/>
    </row>
    <row r="119" s="226" customFormat="1" ht="33" customHeight="1" spans="1:17">
      <c r="A119" s="230">
        <v>116</v>
      </c>
      <c r="B119" s="239"/>
      <c r="C119" s="31" t="s">
        <v>573</v>
      </c>
      <c r="D119" s="194"/>
      <c r="E119" s="31" t="s">
        <v>573</v>
      </c>
      <c r="F119" s="194"/>
      <c r="G119" s="133" t="s">
        <v>209</v>
      </c>
      <c r="H119" s="194">
        <v>33</v>
      </c>
      <c r="I119" s="233">
        <v>200</v>
      </c>
      <c r="J119" s="207">
        <f t="shared" si="3"/>
        <v>6600</v>
      </c>
      <c r="K119" s="207">
        <v>140</v>
      </c>
      <c r="L119" s="207"/>
      <c r="M119" s="207"/>
      <c r="N119" s="207"/>
      <c r="O119" s="207"/>
      <c r="P119" s="234"/>
      <c r="Q119" s="246"/>
    </row>
    <row r="120" s="226" customFormat="1" ht="33" customHeight="1" spans="1:17">
      <c r="A120" s="230">
        <v>117</v>
      </c>
      <c r="B120" s="31" t="s">
        <v>574</v>
      </c>
      <c r="C120" s="31" t="s">
        <v>575</v>
      </c>
      <c r="D120" s="31" t="s">
        <v>576</v>
      </c>
      <c r="E120" s="31" t="s">
        <v>558</v>
      </c>
      <c r="F120" s="197" t="s">
        <v>494</v>
      </c>
      <c r="G120" s="84" t="s">
        <v>209</v>
      </c>
      <c r="H120" s="240">
        <v>33</v>
      </c>
      <c r="I120" s="235">
        <v>100</v>
      </c>
      <c r="J120" s="207">
        <f t="shared" si="3"/>
        <v>3300</v>
      </c>
      <c r="K120" s="207">
        <v>70</v>
      </c>
      <c r="L120" s="207"/>
      <c r="M120" s="207"/>
      <c r="N120" s="207"/>
      <c r="O120" s="207"/>
      <c r="P120" s="234"/>
      <c r="Q120" s="202"/>
    </row>
    <row r="121" s="226" customFormat="1" ht="33" customHeight="1" spans="1:17">
      <c r="A121" s="230">
        <v>119</v>
      </c>
      <c r="B121" s="197"/>
      <c r="C121" s="31" t="s">
        <v>577</v>
      </c>
      <c r="D121" s="197"/>
      <c r="E121" s="31" t="s">
        <v>561</v>
      </c>
      <c r="F121" s="197"/>
      <c r="G121" s="84" t="s">
        <v>209</v>
      </c>
      <c r="H121" s="240">
        <v>33</v>
      </c>
      <c r="I121" s="235">
        <v>200</v>
      </c>
      <c r="J121" s="207">
        <f t="shared" si="3"/>
        <v>6600</v>
      </c>
      <c r="K121" s="207">
        <v>140</v>
      </c>
      <c r="L121" s="207"/>
      <c r="M121" s="207"/>
      <c r="N121" s="207"/>
      <c r="O121" s="207"/>
      <c r="P121" s="234"/>
      <c r="Q121" s="202"/>
    </row>
    <row r="122" s="226" customFormat="1" ht="33" customHeight="1" spans="1:17">
      <c r="A122" s="230">
        <v>121</v>
      </c>
      <c r="B122" s="197"/>
      <c r="C122" s="31" t="s">
        <v>514</v>
      </c>
      <c r="D122" s="197"/>
      <c r="E122" s="31" t="s">
        <v>514</v>
      </c>
      <c r="F122" s="31" t="s">
        <v>578</v>
      </c>
      <c r="G122" s="84" t="s">
        <v>209</v>
      </c>
      <c r="H122" s="241">
        <v>33</v>
      </c>
      <c r="I122" s="235">
        <v>350</v>
      </c>
      <c r="J122" s="207">
        <f t="shared" si="3"/>
        <v>11550</v>
      </c>
      <c r="K122" s="207">
        <v>245</v>
      </c>
      <c r="L122" s="207"/>
      <c r="M122" s="207"/>
      <c r="N122" s="207"/>
      <c r="O122" s="207"/>
      <c r="P122" s="234"/>
      <c r="Q122" s="202"/>
    </row>
    <row r="123" s="226" customFormat="1" ht="33" customHeight="1" spans="1:17">
      <c r="A123" s="242">
        <v>122</v>
      </c>
      <c r="B123" s="231"/>
      <c r="C123" s="31" t="s">
        <v>579</v>
      </c>
      <c r="D123" s="231"/>
      <c r="E123" s="171" t="s">
        <v>580</v>
      </c>
      <c r="F123" s="231"/>
      <c r="G123" s="91" t="s">
        <v>209</v>
      </c>
      <c r="H123" s="241">
        <v>33</v>
      </c>
      <c r="I123" s="235">
        <v>100</v>
      </c>
      <c r="J123" s="207">
        <f t="shared" si="3"/>
        <v>3300</v>
      </c>
      <c r="K123" s="207">
        <v>70</v>
      </c>
      <c r="L123" s="207"/>
      <c r="M123" s="207"/>
      <c r="N123" s="207"/>
      <c r="O123" s="207"/>
      <c r="P123" s="234"/>
      <c r="Q123" s="202"/>
    </row>
    <row r="124" s="226" customFormat="1" ht="33" customHeight="1" spans="1:17">
      <c r="A124" s="85" t="s">
        <v>581</v>
      </c>
      <c r="B124" s="243"/>
      <c r="C124" s="243"/>
      <c r="D124" s="243"/>
      <c r="E124" s="243"/>
      <c r="F124" s="243"/>
      <c r="G124" s="243"/>
      <c r="H124" s="243"/>
      <c r="I124" s="244"/>
      <c r="J124" s="245">
        <f>SUM(J4:J123)</f>
        <v>464750</v>
      </c>
      <c r="K124" s="201"/>
      <c r="L124" s="245">
        <f>SUM(L4:L123)</f>
        <v>0</v>
      </c>
      <c r="M124" s="245"/>
      <c r="N124" s="245"/>
      <c r="O124" s="245"/>
      <c r="P124" s="202"/>
      <c r="Q124" s="246"/>
    </row>
  </sheetData>
  <mergeCells count="68">
    <mergeCell ref="A1:Q1"/>
    <mergeCell ref="A2:Q2"/>
    <mergeCell ref="A124:I124"/>
    <mergeCell ref="B4:B23"/>
    <mergeCell ref="B24:B42"/>
    <mergeCell ref="B43:B55"/>
    <mergeCell ref="B56:B68"/>
    <mergeCell ref="B69:B80"/>
    <mergeCell ref="B81:B86"/>
    <mergeCell ref="B87:B97"/>
    <mergeCell ref="B98:B104"/>
    <mergeCell ref="B105:B110"/>
    <mergeCell ref="B111:B115"/>
    <mergeCell ref="B116:B119"/>
    <mergeCell ref="B120:B123"/>
    <mergeCell ref="D4:D23"/>
    <mergeCell ref="D24:D42"/>
    <mergeCell ref="D43:D47"/>
    <mergeCell ref="D48:D55"/>
    <mergeCell ref="D56:D68"/>
    <mergeCell ref="D69:D80"/>
    <mergeCell ref="D81:D86"/>
    <mergeCell ref="D87:D97"/>
    <mergeCell ref="D98:D104"/>
    <mergeCell ref="D105:D110"/>
    <mergeCell ref="D111:D115"/>
    <mergeCell ref="D116:D119"/>
    <mergeCell ref="D120:D123"/>
    <mergeCell ref="E4:E11"/>
    <mergeCell ref="E12:E23"/>
    <mergeCell ref="E24:E29"/>
    <mergeCell ref="E30:E42"/>
    <mergeCell ref="E43:E47"/>
    <mergeCell ref="E48:E55"/>
    <mergeCell ref="E56:E61"/>
    <mergeCell ref="E62:E68"/>
    <mergeCell ref="E69:E73"/>
    <mergeCell ref="E74:E80"/>
    <mergeCell ref="E81:E83"/>
    <mergeCell ref="E84:E86"/>
    <mergeCell ref="E87:E90"/>
    <mergeCell ref="E91:E97"/>
    <mergeCell ref="E98:E100"/>
    <mergeCell ref="E101:E104"/>
    <mergeCell ref="E105:E106"/>
    <mergeCell ref="E107:E108"/>
    <mergeCell ref="E109:E110"/>
    <mergeCell ref="E111:E112"/>
    <mergeCell ref="E113:E114"/>
    <mergeCell ref="F4:F6"/>
    <mergeCell ref="F9:F23"/>
    <mergeCell ref="F24:F38"/>
    <mergeCell ref="F40:F42"/>
    <mergeCell ref="F43:F45"/>
    <mergeCell ref="F48:F52"/>
    <mergeCell ref="F54:F55"/>
    <mergeCell ref="F56:F59"/>
    <mergeCell ref="F60:F61"/>
    <mergeCell ref="F62:F68"/>
    <mergeCell ref="F69:F80"/>
    <mergeCell ref="F81:F86"/>
    <mergeCell ref="F87:F97"/>
    <mergeCell ref="F98:F104"/>
    <mergeCell ref="F105:F110"/>
    <mergeCell ref="F111:F115"/>
    <mergeCell ref="F116:F119"/>
    <mergeCell ref="F120:F121"/>
    <mergeCell ref="F122:F123"/>
  </mergeCells>
  <pageMargins left="0.75" right="0.75" top="1" bottom="1" header="0.5" footer="0.5"/>
  <pageSetup paperSize="9" scale="42"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O5"/>
  <sheetViews>
    <sheetView view="pageBreakPreview" zoomScaleNormal="100" workbookViewId="0">
      <pane ySplit="3" topLeftCell="A4" activePane="bottomLeft" state="frozen"/>
      <selection/>
      <selection pane="bottomLeft" activeCell="N10" sqref="N10"/>
    </sheetView>
  </sheetViews>
  <sheetFormatPr defaultColWidth="9" defaultRowHeight="13.5" outlineLevelRow="4"/>
  <cols>
    <col min="4" max="4" width="58.125" customWidth="1"/>
    <col min="7" max="7" width="9.375" hidden="1" customWidth="1"/>
    <col min="8" max="8" width="9.875" hidden="1" customWidth="1"/>
  </cols>
  <sheetData>
    <row r="1" ht="36" customHeight="1" spans="1:15">
      <c r="A1" s="217" t="s">
        <v>582</v>
      </c>
      <c r="B1" s="217"/>
      <c r="C1" s="217"/>
      <c r="D1" s="217"/>
      <c r="E1" s="217"/>
      <c r="F1" s="217"/>
      <c r="G1" s="217"/>
      <c r="H1" s="217"/>
      <c r="I1" s="217"/>
      <c r="J1" s="217"/>
      <c r="K1" s="217"/>
      <c r="L1" s="217"/>
      <c r="M1" s="217"/>
      <c r="N1" s="217"/>
      <c r="O1" s="217"/>
    </row>
    <row r="2" ht="24.95" customHeight="1" spans="1:15">
      <c r="A2" s="142" t="str">
        <f>'5、人防设备检测'!A2</f>
        <v>工程名称：天河区凌塘村城中村改造项目-首开区复建安置房及配套设施工程第三方检测及监测技术服务</v>
      </c>
      <c r="B2" s="142"/>
      <c r="C2" s="142"/>
      <c r="D2" s="142"/>
      <c r="E2" s="142"/>
      <c r="F2" s="142"/>
      <c r="G2" s="142"/>
      <c r="H2" s="142"/>
      <c r="I2" s="142"/>
      <c r="J2" s="142"/>
      <c r="K2" s="142"/>
      <c r="L2" s="142"/>
      <c r="M2" s="142"/>
      <c r="N2" s="142"/>
      <c r="O2" s="142"/>
    </row>
    <row r="3" ht="45" customHeight="1" spans="1:15">
      <c r="A3" s="42" t="s">
        <v>18</v>
      </c>
      <c r="B3" s="42" t="s">
        <v>436</v>
      </c>
      <c r="C3" s="42" t="s">
        <v>49</v>
      </c>
      <c r="D3" s="42" t="s">
        <v>50</v>
      </c>
      <c r="E3" s="42" t="s">
        <v>20</v>
      </c>
      <c r="F3" s="42" t="s">
        <v>51</v>
      </c>
      <c r="G3" s="10" t="s">
        <v>52</v>
      </c>
      <c r="H3" s="10" t="s">
        <v>53</v>
      </c>
      <c r="I3" s="10" t="str">
        <f>'5、人防设备检测'!K3</f>
        <v>全费用综合单价限价（元）</v>
      </c>
      <c r="J3" s="10" t="s">
        <v>55</v>
      </c>
      <c r="K3" s="10" t="s">
        <v>56</v>
      </c>
      <c r="L3" s="10" t="s">
        <v>57</v>
      </c>
      <c r="M3" s="10" t="s">
        <v>476</v>
      </c>
      <c r="N3" s="42" t="s">
        <v>11</v>
      </c>
      <c r="O3" s="42" t="s">
        <v>12</v>
      </c>
    </row>
    <row r="4" ht="114" customHeight="1" spans="1:15">
      <c r="A4" s="197">
        <v>1</v>
      </c>
      <c r="B4" s="218" t="s">
        <v>583</v>
      </c>
      <c r="C4" s="218" t="s">
        <v>584</v>
      </c>
      <c r="D4" s="219" t="s">
        <v>585</v>
      </c>
      <c r="E4" s="53" t="s">
        <v>427</v>
      </c>
      <c r="F4" s="197">
        <v>150</v>
      </c>
      <c r="G4" s="220">
        <f>600+400+400+400+400+600+400</f>
        <v>3200</v>
      </c>
      <c r="H4" s="201">
        <f>G4*F4</f>
        <v>480000</v>
      </c>
      <c r="I4" s="201">
        <v>2240</v>
      </c>
      <c r="J4" s="201"/>
      <c r="K4" s="201"/>
      <c r="L4" s="201"/>
      <c r="M4" s="201"/>
      <c r="N4" s="223"/>
      <c r="O4" s="197"/>
    </row>
    <row r="5" ht="27.95" customHeight="1" spans="1:15">
      <c r="A5" s="211" t="s">
        <v>581</v>
      </c>
      <c r="B5" s="221"/>
      <c r="C5" s="221"/>
      <c r="D5" s="221"/>
      <c r="E5" s="221"/>
      <c r="F5" s="221"/>
      <c r="G5" s="222"/>
      <c r="H5" s="214">
        <f>H4</f>
        <v>480000</v>
      </c>
      <c r="I5" s="224"/>
      <c r="J5" s="214">
        <f>J4</f>
        <v>0</v>
      </c>
      <c r="K5" s="214"/>
      <c r="L5" s="214"/>
      <c r="M5" s="214"/>
      <c r="N5" s="225"/>
      <c r="O5" s="225"/>
    </row>
  </sheetData>
  <mergeCells count="3">
    <mergeCell ref="A1:O1"/>
    <mergeCell ref="A2:O2"/>
    <mergeCell ref="A5:G5"/>
  </mergeCells>
  <pageMargins left="0.75" right="0.75" top="1" bottom="1" header="0.5" footer="0.5"/>
  <pageSetup paperSize="9" scale="5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封-2 工程量清单封面</vt:lpstr>
      <vt:lpstr>汇总表</vt:lpstr>
      <vt:lpstr>明细表</vt:lpstr>
      <vt:lpstr>1、材料见证取样检测</vt:lpstr>
      <vt:lpstr>2、地基基础及基坑支护</vt:lpstr>
      <vt:lpstr>3、主体结构检测</vt:lpstr>
      <vt:lpstr>4、人防主体结构检测</vt:lpstr>
      <vt:lpstr>5、人防设备检测</vt:lpstr>
      <vt:lpstr>6、室内环境检测</vt:lpstr>
      <vt:lpstr>7、防雷及电气检测</vt:lpstr>
      <vt:lpstr>8、园林绿化检测</vt:lpstr>
      <vt:lpstr>9、节能与绿建检测</vt:lpstr>
      <vt:lpstr>10、智能检测</vt:lpstr>
      <vt:lpstr>11、消防设施检测</vt:lpstr>
      <vt:lpstr>12、消防材料检测</vt:lpstr>
      <vt:lpstr>13、幕墙门窗检测</vt:lpstr>
      <vt:lpstr>14、市政实体检测</vt:lpstr>
      <vt:lpstr>1、基坑监测</vt:lpstr>
      <vt:lpstr>2、主体沉降监测</vt:lpstr>
      <vt:lpstr>3、高支模监测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yanghuangliang</dc:creator>
  <cp:lastModifiedBy>LL</cp:lastModifiedBy>
  <dcterms:created xsi:type="dcterms:W3CDTF">2025-04-30T09:54:00Z</dcterms:created>
  <dcterms:modified xsi:type="dcterms:W3CDTF">2025-05-23T06:02:42Z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A69E2BF3F25A4DAE848736770924F545_13</vt:lpwstr>
  </property>
  <property fmtid="{D5CDD505-2E9C-101B-9397-08002B2CF9AE}" pid="4" name="KSOReadingLayout">
    <vt:bool>true</vt:bool>
  </property>
</Properties>
</file>