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 firstSheet="3" activeTab="3"/>
  </bookViews>
  <sheets>
    <sheet name="Sheet1" sheetId="1" state="hidden" r:id="rId1"/>
    <sheet name="上次发出稿" sheetId="2" state="hidden" r:id="rId2"/>
    <sheet name="汇总表 (新)1014" sheetId="8" state="hidden" r:id="rId3"/>
    <sheet name="汇总表1" sheetId="10" r:id="rId4"/>
    <sheet name="汇总表 (新)" sheetId="7" state="hidden" r:id="rId5"/>
    <sheet name="汇总表" sheetId="3" state="hidden" r:id="rId6"/>
    <sheet name="Sheet2" sheetId="9" state="hidden" r:id="rId7"/>
    <sheet name="上报审核造价分析表" sheetId="5" state="hidden" r:id="rId8"/>
    <sheet name="水工附件1" sheetId="4" state="hidden" r:id="rId9"/>
    <sheet name="软基附件1 (2)" sheetId="6" state="hidden" r:id="rId10"/>
  </sheets>
  <definedNames>
    <definedName name="_xlnm._FilterDatabase" localSheetId="2" hidden="1">'汇总表 (新)1014'!$A$1:$G$78</definedName>
    <definedName name="_xlnm._FilterDatabase" localSheetId="4" hidden="1">'汇总表 (新)'!$I$1:$I$89</definedName>
    <definedName name="_xlnm._FilterDatabase" localSheetId="5" hidden="1">汇总表!$A$1:$G$96</definedName>
    <definedName name="_xlnm._FilterDatabase" localSheetId="3" hidden="1">汇总表1!#REF!</definedName>
    <definedName name="_xlnm.Print_Titles" localSheetId="5">汇总表!$1:$4</definedName>
    <definedName name="_xlnm.Print_Titles" localSheetId="7">上报审核造价分析表!$1:$4</definedName>
    <definedName name="_xlnm.Print_Area" localSheetId="7">上报审核造价分析表!$A$1:$H$74</definedName>
    <definedName name="_xlnm.Print_Area" localSheetId="8">水工附件1!$A$1:$I$11</definedName>
    <definedName name="_xlnm.Print_Area" localSheetId="9">'软基附件1 (2)'!$A$1:$I$9</definedName>
    <definedName name="_xlnm.Print_Area" localSheetId="5">汇总表!$A$1:$G$90</definedName>
    <definedName name="_xlnm.Print_Titles" localSheetId="4">'汇总表 (新)'!$1:$4</definedName>
    <definedName name="_xlnm.Print_Area" localSheetId="4">'汇总表 (新)'!$A$1:$G$71</definedName>
    <definedName name="_xlnm.Print_Titles" localSheetId="2">'汇总表 (新)1014'!$1:$4</definedName>
    <definedName name="_xlnm.Print_Area" localSheetId="2">'汇总表 (新)1014'!$A$1:$G$73</definedName>
    <definedName name="_xlnm.Print_Titles" localSheetId="3">汇总表1!$1:$4</definedName>
    <definedName name="_xlnm.Print_Area" localSheetId="3">汇总表1!$A$1:$D$12</definedName>
  </definedNames>
  <calcPr calcId="144525"/>
</workbook>
</file>

<file path=xl/sharedStrings.xml><?xml version="1.0" encoding="utf-8"?>
<sst xmlns="http://schemas.openxmlformats.org/spreadsheetml/2006/main" count="846" uniqueCount="244">
  <si>
    <t>汇总表</t>
  </si>
  <si>
    <t>工程名称：阳江港吉树作业区#J15~16码头</t>
  </si>
  <si>
    <t>序号</t>
  </si>
  <si>
    <t>单位工程名称</t>
  </si>
  <si>
    <t>上报金额（元）</t>
  </si>
  <si>
    <t>财局审核金额（元）</t>
  </si>
  <si>
    <t>核减/增</t>
  </si>
  <si>
    <t>核减/增（万元）</t>
  </si>
  <si>
    <t>备注</t>
  </si>
  <si>
    <t>一</t>
  </si>
  <si>
    <t>水运工程</t>
  </si>
  <si>
    <t>含保险费106.77万，部分费用放入检测中</t>
  </si>
  <si>
    <t>1</t>
  </si>
  <si>
    <t>一般工程</t>
  </si>
  <si>
    <t>200KW柴油发电机组在定额中以给市政点，此部分无具体方案暂扣30万；对讲机作用，是否为施工方便购买，在管理费中考虑等；暂未考虑临时用地费用，资料无法体现是否在用工内，且临时用地是否为施工单位出，暂扣</t>
  </si>
  <si>
    <t>其他</t>
  </si>
  <si>
    <t>调整：根据粤交基〔 2020 〕737号调整规费、安全生产费、临时航道浮标灯、施工期间海上通航警戒（工期不明确，暂定18个月）；根据意见临时道路调整土方（土方资源费按4元/m3，运距20km），调整电缆单价</t>
  </si>
  <si>
    <t>保险费</t>
  </si>
  <si>
    <t>调整：粤交基〔 2020 〕737号保险费按0.4%计入</t>
  </si>
  <si>
    <t>2</t>
  </si>
  <si>
    <t>疏浚工程</t>
  </si>
  <si>
    <t>调整：根据粤交基〔 2020 〕737号调整规费、安全生产费及挖深幅度差</t>
  </si>
  <si>
    <t>调整增加护岸挖方</t>
  </si>
  <si>
    <t>3</t>
  </si>
  <si>
    <t>水工工程</t>
  </si>
  <si>
    <t>橡胶护舷DA-A600数量为55套，送审单价19万/组，审核单价为1.2万，此部分核减约1000万，信息价及工程量约307.80万差异，需要对数</t>
  </si>
  <si>
    <t>调整钢护筒量，暂按1次摊销考虑，需要设计回复</t>
  </si>
  <si>
    <t>通用泊位</t>
  </si>
  <si>
    <t>码头（前方桩台）</t>
  </si>
  <si>
    <t>码头（后方桩台）</t>
  </si>
  <si>
    <t>码头（前方管理用房平台）</t>
  </si>
  <si>
    <t>码头接岸(非引桥段)</t>
  </si>
  <si>
    <t>码头接岸(南引桥段)</t>
  </si>
  <si>
    <t>1号引桥(南引桥)</t>
  </si>
  <si>
    <t>风电泊位</t>
  </si>
  <si>
    <t>二突堤（中引桥）</t>
  </si>
  <si>
    <t>码头接岸(中引桥段)</t>
  </si>
  <si>
    <t>北引桥</t>
  </si>
  <si>
    <t>码头接岸（北引桥段）</t>
  </si>
  <si>
    <t>靠船平台 前桩台</t>
  </si>
  <si>
    <t>靠船平台 后桩台</t>
  </si>
  <si>
    <t>靠船平台接岸结构</t>
  </si>
  <si>
    <t>排海口</t>
  </si>
  <si>
    <t>地基处理工程</t>
  </si>
  <si>
    <t>送审堆载山皮土综合单价159.47元/m3单价偏高；堆载预压单价偏高、主材价单价偏高，且真空堆载预压含土工布及编制布，送审重复考虑</t>
  </si>
  <si>
    <t>道路堆场工程</t>
  </si>
  <si>
    <t>上皮土考虑利用影响70万，类别及工程量差异70万，工程量及单价差异360.84万</t>
  </si>
  <si>
    <t>部分调整位置至地基处理专业</t>
  </si>
  <si>
    <t>二</t>
  </si>
  <si>
    <t>房建、安装工程</t>
  </si>
  <si>
    <t>变电所</t>
  </si>
  <si>
    <t>变电所#建筑装饰</t>
  </si>
  <si>
    <t xml:space="preserve">
1.带形基础因工程量差异，此项核增约1.75万元；
2.电缆沟因综合单价差异，此项核增约1.36万元；3.预埋铁件（电缆沟），因综合单价及工程量差异，此项核增约0.74万元；</t>
  </si>
  <si>
    <t>变电所#电气</t>
  </si>
  <si>
    <t>1.高压柜体主材价差异，此项核减约50.63万元；                  2.干式变压器主材价差异，此项核减约16.71万元；                3.低压柜体主材价差异，此项核减约52.92万元；</t>
  </si>
  <si>
    <t>土建装饰共核减约53万</t>
  </si>
  <si>
    <t>变电所#控制工程</t>
  </si>
  <si>
    <t>1.室内球形摄像机主材价差异，此项核减约1.05万元；</t>
  </si>
  <si>
    <t>变电所#通风空调</t>
  </si>
  <si>
    <t xml:space="preserve"> </t>
  </si>
  <si>
    <t>变电所#给排水</t>
  </si>
  <si>
    <t>1.套管工程量差异，此项核减约0.11万元；</t>
  </si>
  <si>
    <t>变电所#消防水</t>
  </si>
  <si>
    <t>1.手提式干粉灭火器及灭火器放置箱主材价差异，此项核减约0.13万元；</t>
  </si>
  <si>
    <t>维修间</t>
  </si>
  <si>
    <t>维修间#建筑装饰</t>
  </si>
  <si>
    <t>1.土方工程，工程量差异，此项核增约0.75万元；                                2.室内地坪，因综合单价及工程量差异，此项核增约0.74万元；3.现浇构件钢筋，因工程量差异，此项核增约0.9万</t>
  </si>
  <si>
    <t>维修间#电气</t>
  </si>
  <si>
    <t>1.配电箱询价未回复，此项核减约2.98万元；</t>
  </si>
  <si>
    <t>维修间#控制工程</t>
  </si>
  <si>
    <t>1.室内球形摄像机主材价差异，此项核减约0.97万元；</t>
  </si>
  <si>
    <t>维修间#通风空调</t>
  </si>
  <si>
    <t>1.风机主材价差异，此项核增约0.34万元；</t>
  </si>
  <si>
    <t>维修间#给排水</t>
  </si>
  <si>
    <t>1.管道工程量差异，此项核减约0.27万元；</t>
  </si>
  <si>
    <t>维修间#消防水</t>
  </si>
  <si>
    <t>1#门卫</t>
  </si>
  <si>
    <t>1#门卫#建筑装饰</t>
  </si>
  <si>
    <t>1.电动伸缩门送审工程量偏高，此项核减2.1万元</t>
  </si>
  <si>
    <t>1#门卫#电气</t>
  </si>
  <si>
    <t>1.电缆主材单价差异，此项核增约0.28万元</t>
  </si>
  <si>
    <t>1#门卫#通风空调</t>
  </si>
  <si>
    <t>1#门卫#通信工程</t>
  </si>
  <si>
    <t>1.通信设备主材价差异，此项核减约1.47万元</t>
  </si>
  <si>
    <t>1#门卫#消防水</t>
  </si>
  <si>
    <t>2#门卫</t>
  </si>
  <si>
    <t>2#门卫#建筑装饰</t>
  </si>
  <si>
    <t>1.电动伸缩门送审工程量偏高，此项核减1.34万元</t>
  </si>
  <si>
    <t>2#门卫#电气</t>
  </si>
  <si>
    <t>1.电缆主材单价差异，此项核增约0.19万元</t>
  </si>
  <si>
    <t>2#门卫#通风空调</t>
  </si>
  <si>
    <t>2#门卫#通信工程</t>
  </si>
  <si>
    <t>1.通信设备主材价差异，此项核减约0.6万元</t>
  </si>
  <si>
    <t>2#门卫#消防水</t>
  </si>
  <si>
    <t>3#门卫</t>
  </si>
  <si>
    <t>3#门卫#建筑装饰</t>
  </si>
  <si>
    <t>1.电动伸缩门送审工程量偏高，此项核减1.6万元</t>
  </si>
  <si>
    <t>3#门卫#电气</t>
  </si>
  <si>
    <t>1.电缆主材单价差异，此项核增约0.26万元</t>
  </si>
  <si>
    <t>3#门卫#通风空调</t>
  </si>
  <si>
    <t>3#门卫#通信工程</t>
  </si>
  <si>
    <t>1.通信设备主材价差异，此项核减约0.87万元</t>
  </si>
  <si>
    <t>3#门卫#消防水</t>
  </si>
  <si>
    <t>前方管理用房</t>
  </si>
  <si>
    <t>前方管理用房#建筑装饰</t>
  </si>
  <si>
    <t>1.因内外墙、屋面彩板复合材料单价差异，此项共核减约6.5万元</t>
  </si>
  <si>
    <t>前方管理用房#电气</t>
  </si>
  <si>
    <t>前方管理用房#通风空调</t>
  </si>
  <si>
    <t>前方管理用房#通信工程</t>
  </si>
  <si>
    <t>1.通信设备主材价差异，此项核减约2.88万元</t>
  </si>
  <si>
    <t>前方管理用房#给排水</t>
  </si>
  <si>
    <t>前方管理用房#消防水</t>
  </si>
  <si>
    <t>室外工程</t>
  </si>
  <si>
    <t>室外工程#电气工程</t>
  </si>
  <si>
    <t>1.高杆灯主材价差异，此项核减约21.56万元；              2.高杆灯基础工程量差异，此项核减约6.46万元；</t>
  </si>
  <si>
    <t>室外工程#控制工程</t>
  </si>
  <si>
    <t>1.生产安防室外球形摄像机主材价差异，此项核减约3.175万元；                                               2.视频监控设备工程量差异，此项核减约14.64万元；</t>
  </si>
  <si>
    <t>室外工程#通信工程</t>
  </si>
  <si>
    <t>1.玻璃钢管道工程量差异，此项核减约1.81万元；              2.通信设备工程量差异，此项核减约7.69万元；</t>
  </si>
  <si>
    <t>室外工程#给排水</t>
  </si>
  <si>
    <t xml:space="preserve">1.HMPP聚丙烯缠绕结构壁管材B型管主材价差异，此项核减约258.86万元；                                         2.800*700平篦式雨水口（重型井）工程量差异，此项核减约19.02万元；                                       3.1300*1300阀门井（重型井）工程量差异，此项核减约17.49万元；                                      4.2630*2630不带篦雨水检查井（轻型井）工程量差异，此项核减约3.61万元；                                         5.2630*2630带篦雨水检查井（重型井）工程量差异，此项核减约17.46万元；                                         6.1300*1300带篦雨水检查井（重型井）工程量差异，此项核减约41.79万元；                                         7.1650*1650带篦雨水检查井（重型井）工程量差异，此项核减约48.25万元；                                  8.防潮井工程量差异，此项核减约17.98万元；                                  </t>
  </si>
  <si>
    <t>室外工程#消防水</t>
  </si>
  <si>
    <t>1.孔网钢骨架聚乙烯复合管主材价差异，此项核减约32.62万元；                                          2.D1500消火栓井工程量差异，此项核减约4.83万元；3.1300*1300阀门井（重型井）工程量差异，此项核减约13.55万元；</t>
  </si>
  <si>
    <t>国旗#</t>
  </si>
  <si>
    <t>篮球场#</t>
  </si>
  <si>
    <t xml:space="preserve">1.成品固定式篮板综合单价差异，核减约2.22万元；  2.塑胶面层，综合单价差异，核减约1.46万元；
</t>
  </si>
  <si>
    <t>标识墙#</t>
  </si>
  <si>
    <t>围墙#</t>
  </si>
  <si>
    <t xml:space="preserve">1.砖基础，工程量差异，核减金额3.08万元               2.块料墙面 釉面砖、100mm*100mm，工程量差异，核减约8.83万元；                                             3.脚手架工程，因综合单价及工程量差异，此项核减约2.17万元；                                                      4.压顶模板，因综合单价及工程量差异，此项核减约10万元；
</t>
  </si>
  <si>
    <t>导助航工程</t>
  </si>
  <si>
    <t>导助航#</t>
  </si>
  <si>
    <t>环保及劳动安全卫生</t>
  </si>
  <si>
    <t>机修车间冲洗、含油污水处理设施设备</t>
  </si>
  <si>
    <t>1.设备综合单价差异，核减378.57万元</t>
  </si>
  <si>
    <t>生活污水处理系统</t>
  </si>
  <si>
    <t>1.设备综合单价差异，增加15.32万元</t>
  </si>
  <si>
    <t>防倒灌设备</t>
  </si>
  <si>
    <t>1.设备综合单价差异，核减10.09万元</t>
  </si>
  <si>
    <t>维修间含油污水处理池</t>
  </si>
  <si>
    <t>三</t>
  </si>
  <si>
    <t>检测及检测费用</t>
  </si>
  <si>
    <t>监测、检测</t>
  </si>
  <si>
    <t>地基处理、码头监测、房建检测监测暂估无具体检测内容，暂扣约500万</t>
  </si>
  <si>
    <t>五</t>
  </si>
  <si>
    <t>预留金</t>
  </si>
  <si>
    <t>合计</t>
  </si>
  <si>
    <t>暂用旧编规，影响金额约2000万</t>
  </si>
  <si>
    <t>1.200KW柴油发电组在定额中以给市政用电，此部分暂扣30万；对讲机，否否为施工方便购买，在管理费中考虑，临时用地，资料无法体现是否在施工范围内，暂扣50万3.竣工文件编制根据编规说明，竣工图问津在设计费中考虑，暂扣4.施工措施项目、其他项目不明确，是否为厂区内办公房等，厂区内公房等再临设费中已考虑，不重复计取；预制场费用，因定额已考虑预制场使用费，暂扣除300万，待后期决定后再调整</t>
  </si>
  <si>
    <t>其他（临时工程）</t>
  </si>
  <si>
    <t>变压器暂定（缺少参数）</t>
  </si>
  <si>
    <t>1.信息价差异，调增122.37万</t>
  </si>
  <si>
    <t>1.工程量差异，计主材价差异</t>
  </si>
  <si>
    <t>1.送审山皮土单价100元/m3，审核山皮土51.10元/m3，暂扣约1200万，其他信息价及工程量误差约418万</t>
  </si>
  <si>
    <t>送审未报，增加钢护筒量，调整钢护筒直径，增加206.82，调整工程量及桩土类别100万</t>
  </si>
  <si>
    <t>1.调整备用量3座，航标灯询价价格差异</t>
  </si>
  <si>
    <t>审核优先交通建设工程试验检测收费项目及标准</t>
  </si>
  <si>
    <t>预算审核对比汇总表</t>
  </si>
  <si>
    <t>送审金额（元）</t>
  </si>
  <si>
    <t>审核金额（元）</t>
  </si>
  <si>
    <t>1.200KW柴油发电组在定额中以给市政用电，此部分扣30万；对讲机，在管理费中考虑，临时用地，资料无法体现是否在施工范围内，扣50万 3.竣工文件编制根据编规说明，竣工图在设计费中考虑，4.施工措施项目、其他项目不明确，厂区内公房等再临设费中已考虑，不重复计取；预制场费用，因定额已考虑预制场使用费，不重复计算</t>
  </si>
  <si>
    <t>1.200KW柴油发电组在定额中以给市政用电，此部分暂扣30万；对讲机，否否为施工方便购买，在管理费中考虑，临时用地，资料无法体现是否在施工范围内，暂扣50万3.竣工文件编制根据编规说明，竣工图在设计费中考虑，暂扣4.施工措施项目、其他项目不明确，是否为厂区内办公房等，厂区内公房等再临设费中已考虑，不重复计取；预制场费用，因定额已考虑预制场使用费，暂扣除600万，待后期决定后再调整</t>
  </si>
  <si>
    <t>由原来港池绞吸吹填、岸坡8m3抓斗船改为抓斗船+泥驳运输37.8km。扣除一突堤与二突堤港池与岸坡挖方重叠工程量5.9万方，按8m3抓斗船+泥驳运输增加1207.82万元</t>
  </si>
  <si>
    <t>由原来港池绞吸吹填、岸坡8m3抓斗船改为抓斗船+泥驳运输37.8km。扣除一突堤与二突堤港池与岸坡挖方重叠工程量5.9万方，暂按8m3抓斗船+泥驳运输增加1207.82万元，若采用30m3抓斗船增加约730万元，需明确抓斗船型号</t>
  </si>
  <si>
    <t>工程量差异，主材价差异。本次主要调整根据询价调整管桩主材价及调整管桩施工直桩、斜桩、叉桩费、信息价影响</t>
  </si>
  <si>
    <t>1.送审山皮土单价100元/m3，审核山皮土51.10元/m3，暂扣约1200万，其他信息价及工程量误差约580万。本次主要调信息价</t>
  </si>
  <si>
    <t>送审未报，增加钢护筒量，调整钢护筒直径，增加206.82万，调整工程量及桩土类别31万，本次主要调整信息价碎石、石屑</t>
  </si>
  <si>
    <t>1.工程量差异，主材价差异</t>
  </si>
  <si>
    <t>1.设备综合单价差异，核减125.19万元</t>
  </si>
  <si>
    <t>1.设备综合单价差异，增加173.10万元</t>
  </si>
  <si>
    <t>1.设备综合单价差异，增加9.86万元</t>
  </si>
  <si>
    <t>本次主要调整膜下真空检测费用及分层沉降按每处一次考虑</t>
  </si>
  <si>
    <t>工程名称：阳江港吉树作业区#J9～#J16 码头二期工程</t>
  </si>
  <si>
    <t>金额（元）</t>
  </si>
  <si>
    <t>一般项目</t>
  </si>
  <si>
    <t>纳泥区围堰</t>
  </si>
  <si>
    <t>监测检测费用（第三方）</t>
  </si>
  <si>
    <t>预备费</t>
  </si>
  <si>
    <t>四</t>
  </si>
  <si>
    <r>
      <rPr>
        <b/>
        <sz val="10"/>
        <rFont val="宋体"/>
        <charset val="134"/>
      </rPr>
      <t>工程名称：</t>
    </r>
    <r>
      <rPr>
        <sz val="10"/>
        <rFont val="宋体"/>
        <charset val="134"/>
      </rPr>
      <t>阳江港吉树作业区#J15~16码头</t>
    </r>
  </si>
  <si>
    <t>用旧编规，新编规影响金额约2000万</t>
  </si>
  <si>
    <t>主要包含临时码头、临水、临电、临时通信、钢结构施工平台、保险费等。1.不考虑临时用地费费用；2.竣工文件图编制费包含在设计费中考虑；3.预制场费用，按定额使用取费计入。</t>
  </si>
  <si>
    <t>1.200KW柴油发电组在定额中以给市政用电，此部分暂扣30万；对讲机，否否为施工方便购买，在管理费中考虑，临时用地，资料无法体现是否在施工范围内，暂扣50万3.竣工文件编制根据编规说明，竣工图在设计费中考虑，暂扣4.施工措施项目、其他项目不明确，是否为厂区内办公房等，厂区内公房等再临设费中已考虑，不重复计取；预制场费用，因定额已考虑预制场使用费，暂扣除600万，待后期决定后再调整；1.工程用电按市政电考虑；2.对讲机费用按包含在管理费中考虑；3.临时用地费按厂区内用地不考虑此费用；3.竣工文件图编制费包含在设计费中考虑；4.预制场费用，按定额取费计入。</t>
  </si>
  <si>
    <t>1.1</t>
  </si>
  <si>
    <t>疏浚按8m3抓斗船+泥驳运输</t>
  </si>
  <si>
    <t>1.2</t>
  </si>
  <si>
    <t>水工建筑物工程</t>
  </si>
  <si>
    <t>1.3</t>
  </si>
  <si>
    <t>陆域形成与地基处理工程</t>
  </si>
  <si>
    <t>1.4</t>
  </si>
  <si>
    <t>道路、堆场工程</t>
  </si>
  <si>
    <t>1.5</t>
  </si>
  <si>
    <t>1.6</t>
  </si>
  <si>
    <t>其他工程</t>
  </si>
  <si>
    <t>主要包含监测、检测费</t>
  </si>
  <si>
    <t>1.7</t>
  </si>
  <si>
    <t>1.200KW柴油发电组在定额中以给市政用电，此部分暂扣30万；对讲机，否否为施工方便购买，在管理费中考虑，临时用地，资料无法体现是否在施工范围内，暂扣50万3.竣工文件编制根据编规说明，竣工图问津在设计费中考虑，暂扣4.施工措施项目、其他项目不明确，是否为厂区内办公房等，厂区内公房等再临设费中已考虑，不重复计取；预制场费用，因定额已考虑预制场使用费，暂扣除600万，待后期决定后再调整</t>
  </si>
  <si>
    <t>由原来港池绞吸吹填、岸坡8m3抓斗船改为抓斗船+泥驳运输37.8km。扣除一突堤与二突堤港池与岸坡挖方重叠工程量5.9万方，暂按8m3抓斗船+泥驳运输增加1200万元，若采用30m3抓斗船增加728.75万元，需明确抓斗船型号</t>
  </si>
  <si>
    <t>工程量差异，主材价差异。本次主要调整根据询价调整管桩主材价及调整管桩施工直桩、斜桩、叉桩费</t>
  </si>
  <si>
    <t>1.送审山皮土单价100元/m3，审核山皮土51.10元/m3，暂扣约1200万，其他信息价及工程量误差约560万。本次主要调土工布、土工格栅、排水板材料</t>
  </si>
  <si>
    <t>送审未报，增加钢护筒量，调整钢护筒直径，增加206.82万，调整工程量及桩土类别31万</t>
  </si>
  <si>
    <t>检验及检（监）测费用</t>
  </si>
  <si>
    <t>455.0</t>
  </si>
  <si>
    <t>715.0</t>
  </si>
  <si>
    <t>1100.0</t>
  </si>
  <si>
    <t>1665.0</t>
  </si>
  <si>
    <t>汇总差额分析表</t>
  </si>
  <si>
    <t>上版财局审核金额（元）</t>
  </si>
  <si>
    <t>相比上次差额
核减/增</t>
  </si>
  <si>
    <t>按设计方案增加预制场费用增加涉及金额449.62万元，保险费调整基数系数减少1.71万元；调整借用新市政定额新增3.89万</t>
  </si>
  <si>
    <t>原来按平均挖深计算超深，根据联系单回复调整I类土工程量1.9万方超深，涉及-3.95万元；</t>
  </si>
  <si>
    <t>取消定额中预制使用费用，预制场费用另计，涉及减少金额46.76万元；</t>
  </si>
  <si>
    <t>调整土方运距，由20km调整为24.9km，涉及金额101.07万元；</t>
  </si>
  <si>
    <t>调整借用新市政定额新增2.88万</t>
  </si>
  <si>
    <t>园林绿化工程</t>
  </si>
  <si>
    <t>根据联系函九新增加内容造价</t>
  </si>
  <si>
    <t>绿化浇灌及排盐</t>
  </si>
  <si>
    <t>管桩调整金额分析</t>
  </si>
  <si>
    <t>名称</t>
  </si>
  <si>
    <t>项目特征</t>
  </si>
  <si>
    <t>单位</t>
  </si>
  <si>
    <t>工程量</t>
  </si>
  <si>
    <t>上报价格
（元/m）</t>
  </si>
  <si>
    <t>本报价格
（元/m）</t>
  </si>
  <si>
    <t>差额（元）</t>
  </si>
  <si>
    <t>A</t>
  </si>
  <si>
    <t>B</t>
  </si>
  <si>
    <t>C</t>
  </si>
  <si>
    <t>A*(C-B)</t>
  </si>
  <si>
    <t>主材</t>
  </si>
  <si>
    <t>管桩（采购）</t>
  </si>
  <si>
    <t>Φ800</t>
  </si>
  <si>
    <t>m</t>
  </si>
  <si>
    <t>预算定价详见材料汇总表</t>
  </si>
  <si>
    <t>Φ1000</t>
  </si>
  <si>
    <t>Φ1200</t>
  </si>
  <si>
    <t>税金+管理费</t>
  </si>
  <si>
    <t>项</t>
  </si>
  <si>
    <t>管桩施工费</t>
  </si>
  <si>
    <t>软基材料调整金额分析</t>
  </si>
  <si>
    <t>土工布</t>
  </si>
  <si>
    <t>300g/m2</t>
  </si>
  <si>
    <t>土工格栅</t>
  </si>
  <si>
    <t>m2</t>
  </si>
  <si>
    <t>塑料排水板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</si>
</sst>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;\-0.00;#"/>
  </numFmts>
  <fonts count="3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仿宋"/>
      <charset val="134"/>
    </font>
    <font>
      <b/>
      <sz val="10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2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0"/>
      <color rgb="FFFF0000"/>
      <name val="宋体"/>
      <charset val="134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1" fillId="13" borderId="10" applyNumberFormat="0" applyAlignment="0" applyProtection="0">
      <alignment vertical="center"/>
    </xf>
    <xf numFmtId="0" fontId="32" fillId="14" borderId="15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4" fillId="0" borderId="0"/>
    <xf numFmtId="0" fontId="37" fillId="0" borderId="0"/>
  </cellStyleXfs>
  <cellXfs count="1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49" applyFont="1" applyFill="1" applyAlignme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6" fillId="2" borderId="0" xfId="49" applyFont="1" applyFill="1" applyAlignment="1">
      <alignment horizontal="center" vertical="center" wrapText="1"/>
    </xf>
    <xf numFmtId="0" fontId="6" fillId="2" borderId="0" xfId="49" applyFont="1" applyFill="1" applyAlignment="1">
      <alignment horizontal="left" vertical="center" wrapText="1"/>
    </xf>
    <xf numFmtId="0" fontId="7" fillId="2" borderId="0" xfId="49" applyFont="1" applyFill="1" applyAlignment="1">
      <alignment horizontal="center" vertical="center" wrapText="1"/>
    </xf>
    <xf numFmtId="176" fontId="6" fillId="2" borderId="0" xfId="49" applyNumberFormat="1" applyFont="1" applyFill="1" applyAlignment="1">
      <alignment horizontal="center" vertical="center" wrapText="1"/>
    </xf>
    <xf numFmtId="0" fontId="8" fillId="2" borderId="0" xfId="49" applyFont="1" applyFill="1" applyAlignment="1">
      <alignment horizontal="left" wrapText="1"/>
    </xf>
    <xf numFmtId="176" fontId="8" fillId="2" borderId="0" xfId="49" applyNumberFormat="1" applyFont="1" applyFill="1" applyAlignment="1">
      <alignment horizontal="left" wrapText="1"/>
    </xf>
    <xf numFmtId="176" fontId="8" fillId="2" borderId="0" xfId="49" applyNumberFormat="1" applyFont="1" applyFill="1" applyAlignment="1">
      <alignment horizontal="center" wrapText="1"/>
    </xf>
    <xf numFmtId="0" fontId="8" fillId="2" borderId="1" xfId="49" applyFont="1" applyFill="1" applyBorder="1" applyAlignment="1">
      <alignment horizontal="center" vertical="center" wrapText="1"/>
    </xf>
    <xf numFmtId="0" fontId="8" fillId="2" borderId="1" xfId="49" applyFont="1" applyFill="1" applyBorder="1" applyAlignment="1">
      <alignment horizontal="left" vertical="center" wrapText="1"/>
    </xf>
    <xf numFmtId="176" fontId="8" fillId="2" borderId="1" xfId="49" applyNumberFormat="1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left" vertical="center" wrapText="1"/>
    </xf>
    <xf numFmtId="176" fontId="7" fillId="2" borderId="1" xfId="49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>
      <alignment vertical="center"/>
    </xf>
    <xf numFmtId="0" fontId="9" fillId="2" borderId="1" xfId="49" applyFont="1" applyFill="1" applyBorder="1" applyAlignment="1">
      <alignment horizontal="center" vertical="center" wrapText="1"/>
    </xf>
    <xf numFmtId="176" fontId="2" fillId="0" borderId="1" xfId="0" applyNumberFormat="1" applyFont="1" applyBorder="1">
      <alignment vertical="center"/>
    </xf>
    <xf numFmtId="176" fontId="2" fillId="0" borderId="1" xfId="0" applyNumberFormat="1" applyFont="1" applyBorder="1" applyAlignment="1">
      <alignment vertical="center" wrapTex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0" fillId="3" borderId="1" xfId="0" applyFill="1" applyBorder="1">
      <alignment vertical="center"/>
    </xf>
    <xf numFmtId="176" fontId="2" fillId="0" borderId="0" xfId="0" applyNumberFormat="1" applyFont="1">
      <alignment vertical="center"/>
    </xf>
    <xf numFmtId="176" fontId="7" fillId="2" borderId="0" xfId="49" applyNumberFormat="1" applyFont="1" applyFill="1" applyAlignment="1">
      <alignment horizontal="center" vertical="center" wrapText="1"/>
    </xf>
    <xf numFmtId="0" fontId="8" fillId="2" borderId="0" xfId="49" applyFont="1" applyFill="1" applyAlignment="1">
      <alignment horizontal="center" vertical="center" wrapText="1"/>
    </xf>
    <xf numFmtId="0" fontId="7" fillId="2" borderId="2" xfId="49" applyFont="1" applyFill="1" applyBorder="1" applyAlignment="1">
      <alignment horizontal="center" vertical="center" wrapText="1"/>
    </xf>
    <xf numFmtId="0" fontId="7" fillId="2" borderId="3" xfId="49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9" fillId="2" borderId="0" xfId="49" applyFont="1" applyFill="1" applyAlignment="1">
      <alignment horizontal="center" vertical="center" wrapText="1"/>
    </xf>
    <xf numFmtId="0" fontId="7" fillId="2" borderId="3" xfId="49" applyFont="1" applyFill="1" applyBorder="1" applyAlignment="1">
      <alignment horizontal="left" vertical="center" wrapText="1"/>
    </xf>
    <xf numFmtId="176" fontId="7" fillId="2" borderId="3" xfId="49" applyNumberFormat="1" applyFont="1" applyFill="1" applyBorder="1" applyAlignment="1">
      <alignment horizontal="center" vertical="center" wrapText="1"/>
    </xf>
    <xf numFmtId="0" fontId="8" fillId="2" borderId="2" xfId="49" applyFont="1" applyFill="1" applyBorder="1" applyAlignment="1">
      <alignment horizontal="center" vertical="center" wrapText="1"/>
    </xf>
    <xf numFmtId="0" fontId="8" fillId="2" borderId="3" xfId="49" applyFont="1" applyFill="1" applyBorder="1" applyAlignment="1">
      <alignment horizontal="left" vertical="center" wrapText="1"/>
    </xf>
    <xf numFmtId="0" fontId="8" fillId="2" borderId="3" xfId="49" applyFont="1" applyFill="1" applyBorder="1" applyAlignment="1">
      <alignment horizontal="center" vertical="center" wrapText="1"/>
    </xf>
    <xf numFmtId="176" fontId="12" fillId="0" borderId="1" xfId="0" applyNumberFormat="1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176" fontId="13" fillId="0" borderId="1" xfId="0" applyNumberFormat="1" applyFont="1" applyBorder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>
      <alignment vertical="center"/>
    </xf>
    <xf numFmtId="176" fontId="8" fillId="2" borderId="3" xfId="49" applyNumberFormat="1" applyFont="1" applyFill="1" applyBorder="1" applyAlignment="1">
      <alignment horizontal="right" vertical="center" wrapText="1"/>
    </xf>
    <xf numFmtId="176" fontId="8" fillId="2" borderId="4" xfId="49" applyNumberFormat="1" applyFont="1" applyFill="1" applyBorder="1" applyAlignment="1">
      <alignment horizontal="right" vertical="center" wrapText="1"/>
    </xf>
    <xf numFmtId="0" fontId="2" fillId="0" borderId="5" xfId="0" applyFont="1" applyBorder="1">
      <alignment vertical="center"/>
    </xf>
    <xf numFmtId="176" fontId="8" fillId="2" borderId="1" xfId="49" applyNumberFormat="1" applyFont="1" applyFill="1" applyBorder="1" applyAlignment="1">
      <alignment horizontal="right" vertical="center" wrapText="1"/>
    </xf>
    <xf numFmtId="0" fontId="2" fillId="0" borderId="6" xfId="0" applyFont="1" applyBorder="1">
      <alignment vertical="center"/>
    </xf>
    <xf numFmtId="176" fontId="12" fillId="0" borderId="7" xfId="0" applyNumberFormat="1" applyFont="1" applyBorder="1">
      <alignment vertical="center"/>
    </xf>
    <xf numFmtId="0" fontId="7" fillId="2" borderId="8" xfId="49" applyFont="1" applyFill="1" applyBorder="1" applyAlignment="1">
      <alignment horizontal="center" vertical="center" wrapText="1"/>
    </xf>
    <xf numFmtId="0" fontId="7" fillId="2" borderId="4" xfId="49" applyFont="1" applyFill="1" applyBorder="1" applyAlignment="1">
      <alignment horizontal="left" vertical="center" wrapText="1"/>
    </xf>
    <xf numFmtId="0" fontId="7" fillId="2" borderId="9" xfId="49" applyFont="1" applyFill="1" applyBorder="1" applyAlignment="1">
      <alignment horizontal="center" vertical="center" wrapText="1"/>
    </xf>
    <xf numFmtId="176" fontId="7" fillId="2" borderId="9" xfId="49" applyNumberFormat="1" applyFont="1" applyFill="1" applyBorder="1" applyAlignment="1">
      <alignment horizontal="center" vertical="center" wrapText="1"/>
    </xf>
    <xf numFmtId="176" fontId="7" fillId="2" borderId="4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2" borderId="0" xfId="49" applyFont="1" applyFill="1" applyAlignment="1">
      <alignment horizontal="left" vertical="center" wrapText="1"/>
    </xf>
    <xf numFmtId="0" fontId="8" fillId="2" borderId="0" xfId="49" applyFont="1" applyFill="1" applyAlignment="1">
      <alignment horizontal="left" vertical="center" wrapText="1"/>
    </xf>
    <xf numFmtId="176" fontId="8" fillId="2" borderId="0" xfId="49" applyNumberFormat="1" applyFont="1" applyFill="1" applyAlignment="1">
      <alignment horizontal="left" vertical="center" wrapText="1"/>
    </xf>
    <xf numFmtId="176" fontId="14" fillId="0" borderId="1" xfId="0" applyNumberFormat="1" applyFont="1" applyBorder="1" applyAlignment="1">
      <alignment vertical="center" wrapText="1"/>
    </xf>
    <xf numFmtId="0" fontId="15" fillId="2" borderId="1" xfId="49" applyFont="1" applyFill="1" applyBorder="1" applyAlignment="1">
      <alignment horizontal="left" vertical="center" wrapText="1"/>
    </xf>
    <xf numFmtId="0" fontId="15" fillId="2" borderId="1" xfId="49" applyFont="1" applyFill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6" fillId="2" borderId="1" xfId="49" applyFont="1" applyFill="1" applyBorder="1" applyAlignment="1">
      <alignment horizontal="center" vertical="center" wrapText="1"/>
    </xf>
    <xf numFmtId="176" fontId="8" fillId="2" borderId="3" xfId="49" applyNumberFormat="1" applyFont="1" applyFill="1" applyBorder="1" applyAlignment="1">
      <alignment horizontal="center" vertical="center" wrapText="1"/>
    </xf>
    <xf numFmtId="176" fontId="8" fillId="2" borderId="4" xfId="49" applyNumberFormat="1" applyFont="1" applyFill="1" applyBorder="1" applyAlignment="1">
      <alignment horizontal="center" vertical="center" wrapText="1"/>
    </xf>
    <xf numFmtId="176" fontId="13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177" fontId="17" fillId="0" borderId="1" xfId="0" applyNumberFormat="1" applyFont="1" applyFill="1" applyBorder="1" applyAlignment="1">
      <alignment horizontal="right" vertical="center"/>
    </xf>
    <xf numFmtId="177" fontId="17" fillId="0" borderId="6" xfId="0" applyNumberFormat="1" applyFont="1" applyFill="1" applyBorder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76" fontId="13" fillId="0" borderId="7" xfId="0" applyNumberFormat="1" applyFont="1" applyBorder="1">
      <alignment vertical="center"/>
    </xf>
    <xf numFmtId="0" fontId="8" fillId="2" borderId="8" xfId="49" applyFont="1" applyFill="1" applyBorder="1" applyAlignment="1">
      <alignment horizontal="center" vertical="center" wrapText="1"/>
    </xf>
    <xf numFmtId="0" fontId="8" fillId="2" borderId="4" xfId="49" applyFont="1" applyFill="1" applyBorder="1" applyAlignment="1">
      <alignment horizontal="left" vertical="center" wrapText="1"/>
    </xf>
    <xf numFmtId="0" fontId="8" fillId="2" borderId="9" xfId="49" applyFont="1" applyFill="1" applyBorder="1" applyAlignment="1">
      <alignment horizontal="center" vertical="center" wrapText="1"/>
    </xf>
    <xf numFmtId="176" fontId="8" fillId="2" borderId="9" xfId="49" applyNumberFormat="1" applyFont="1" applyFill="1" applyBorder="1" applyAlignment="1">
      <alignment horizontal="center" vertical="center" wrapText="1"/>
    </xf>
    <xf numFmtId="0" fontId="7" fillId="2" borderId="9" xfId="49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1" xfId="0" applyFont="1" applyBorder="1">
      <alignment vertical="center"/>
    </xf>
    <xf numFmtId="0" fontId="13" fillId="0" borderId="1" xfId="0" applyFont="1" applyBorder="1">
      <alignment vertical="center"/>
    </xf>
    <xf numFmtId="4" fontId="13" fillId="0" borderId="1" xfId="0" applyNumberFormat="1" applyFont="1" applyBorder="1">
      <alignment vertical="center"/>
    </xf>
    <xf numFmtId="0" fontId="8" fillId="2" borderId="3" xfId="49" applyFont="1" applyFill="1" applyBorder="1" applyAlignment="1">
      <alignment horizontal="right" vertical="center" wrapText="1"/>
    </xf>
    <xf numFmtId="0" fontId="8" fillId="2" borderId="4" xfId="49" applyFont="1" applyFill="1" applyBorder="1" applyAlignment="1">
      <alignment horizontal="right" vertical="center" wrapText="1"/>
    </xf>
    <xf numFmtId="0" fontId="8" fillId="2" borderId="1" xfId="49" applyFont="1" applyFill="1" applyBorder="1" applyAlignment="1">
      <alignment horizontal="right" vertical="center" wrapText="1"/>
    </xf>
    <xf numFmtId="0" fontId="12" fillId="0" borderId="7" xfId="0" applyFont="1" applyBorder="1">
      <alignment vertical="center"/>
    </xf>
    <xf numFmtId="0" fontId="8" fillId="2" borderId="3" xfId="49" applyNumberFormat="1" applyFont="1" applyFill="1" applyBorder="1" applyAlignment="1">
      <alignment horizontal="right" vertical="center" wrapText="1"/>
    </xf>
    <xf numFmtId="0" fontId="8" fillId="2" borderId="4" xfId="49" applyFont="1" applyFill="1" applyBorder="1" applyAlignment="1">
      <alignment horizontal="center" vertical="center" wrapText="1"/>
    </xf>
    <xf numFmtId="0" fontId="7" fillId="2" borderId="6" xfId="49" applyFont="1" applyFill="1" applyBorder="1" applyAlignment="1">
      <alignment horizontal="center" vertical="center" wrapText="1"/>
    </xf>
    <xf numFmtId="4" fontId="2" fillId="0" borderId="1" xfId="0" applyNumberFormat="1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L109"/>
  <sheetViews>
    <sheetView topLeftCell="E1" workbookViewId="0">
      <pane ySplit="4" topLeftCell="A8" activePane="bottomLeft" state="frozen"/>
      <selection/>
      <selection pane="bottomLeft" activeCell="D5" sqref="D5"/>
    </sheetView>
  </sheetViews>
  <sheetFormatPr defaultColWidth="9" defaultRowHeight="14"/>
  <cols>
    <col min="1" max="1" width="6.75454545454545" style="12" customWidth="1"/>
    <col min="2" max="2" width="22.7545454545455" customWidth="1"/>
    <col min="3" max="3" width="16.2545454545455" customWidth="1"/>
    <col min="4" max="4" width="17.8727272727273" style="14" customWidth="1"/>
    <col min="5" max="5" width="17.6272727272727" customWidth="1"/>
    <col min="6" max="6" width="17.5" style="15" customWidth="1"/>
    <col min="7" max="7" width="43.6272727272727" style="17" customWidth="1"/>
    <col min="8" max="8" width="15.1272727272727" customWidth="1"/>
    <col min="9" max="10" width="14.1272727272727"/>
    <col min="11" max="11" width="11.6272727272727"/>
    <col min="12" max="12" width="10.3727272727273"/>
  </cols>
  <sheetData>
    <row r="1" ht="25.5" spans="1:7">
      <c r="A1" s="18" t="s">
        <v>0</v>
      </c>
      <c r="B1" s="18"/>
      <c r="C1" s="18"/>
      <c r="D1" s="20"/>
      <c r="E1" s="18"/>
      <c r="F1" s="21"/>
      <c r="G1" s="19"/>
    </row>
    <row r="2" spans="1:7">
      <c r="A2" s="22" t="s">
        <v>1</v>
      </c>
      <c r="B2" s="22"/>
      <c r="C2" s="22"/>
      <c r="D2" s="22"/>
      <c r="E2" s="22"/>
      <c r="F2" s="23"/>
      <c r="G2" s="22"/>
    </row>
    <row r="3" spans="1:7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7" t="s">
        <v>7</v>
      </c>
      <c r="G3" s="25" t="s">
        <v>8</v>
      </c>
    </row>
    <row r="4" spans="1:7">
      <c r="A4" s="25"/>
      <c r="B4" s="25"/>
      <c r="C4" s="25"/>
      <c r="D4" s="25"/>
      <c r="E4" s="25"/>
      <c r="F4" s="27"/>
      <c r="G4" s="25"/>
    </row>
    <row r="5" s="1" customFormat="1" ht="29" customHeight="1" spans="1:7">
      <c r="A5" s="41" t="s">
        <v>9</v>
      </c>
      <c r="B5" s="42" t="s">
        <v>10</v>
      </c>
      <c r="C5" s="28">
        <f>C6+C9+C10+C27+C28</f>
        <v>300271531</v>
      </c>
      <c r="D5" s="28">
        <f>D6+D9+D10+D27+D28</f>
        <v>266793611.87708</v>
      </c>
      <c r="E5" s="43">
        <f t="shared" ref="E5:E10" si="0">D5-C5</f>
        <v>-33477919.12292</v>
      </c>
      <c r="F5" s="31">
        <f>E5/10000</f>
        <v>-3347.791912292</v>
      </c>
      <c r="G5" s="28" t="s">
        <v>11</v>
      </c>
    </row>
    <row r="6" s="1" customFormat="1" ht="62" customHeight="1" spans="1:11">
      <c r="A6" s="41" t="s">
        <v>12</v>
      </c>
      <c r="B6" s="45" t="s">
        <v>13</v>
      </c>
      <c r="C6" s="42">
        <f>SUM(C7:C8)</f>
        <v>10029515</v>
      </c>
      <c r="D6" s="46">
        <f>SUM(D7:D8)</f>
        <v>7974233.73708</v>
      </c>
      <c r="E6" s="31">
        <f t="shared" si="0"/>
        <v>-2055281.26292</v>
      </c>
      <c r="F6" s="31">
        <f>E6/10000</f>
        <v>-205.528126292</v>
      </c>
      <c r="G6" s="28" t="s">
        <v>14</v>
      </c>
      <c r="J6" s="1">
        <f>D5+D80+D87</f>
        <v>269729400.32708</v>
      </c>
      <c r="K6" s="1">
        <f>J6-D8</f>
        <v>268661647.39</v>
      </c>
    </row>
    <row r="7" s="1" customFormat="1" ht="48" customHeight="1" outlineLevel="1" spans="1:10">
      <c r="A7" s="41">
        <v>1.1</v>
      </c>
      <c r="B7" s="45" t="s">
        <v>15</v>
      </c>
      <c r="C7" s="42">
        <v>9102082.7</v>
      </c>
      <c r="D7" s="28">
        <v>6906480.8</v>
      </c>
      <c r="E7" s="43">
        <f t="shared" si="0"/>
        <v>-2195601.9</v>
      </c>
      <c r="F7" s="31">
        <f>E7/10000</f>
        <v>-219.56019</v>
      </c>
      <c r="G7" s="25" t="s">
        <v>16</v>
      </c>
      <c r="J7" s="1">
        <f>227*229</f>
        <v>51983</v>
      </c>
    </row>
    <row r="8" s="1" customFormat="1" ht="48" customHeight="1" outlineLevel="1" spans="1:7">
      <c r="A8" s="41">
        <v>1.2</v>
      </c>
      <c r="B8" s="45" t="s">
        <v>17</v>
      </c>
      <c r="C8" s="42">
        <v>927432.3</v>
      </c>
      <c r="D8" s="30">
        <f>(D87+D7+D9+D10+D27+D28)*0.4%</f>
        <v>1067752.93708</v>
      </c>
      <c r="E8" s="43">
        <f t="shared" si="0"/>
        <v>140320.63708</v>
      </c>
      <c r="F8" s="31">
        <f>E8/10000</f>
        <v>14.032063708</v>
      </c>
      <c r="G8" s="25" t="s">
        <v>18</v>
      </c>
    </row>
    <row r="9" s="1" customFormat="1" ht="48" customHeight="1" spans="1:8">
      <c r="A9" s="41" t="s">
        <v>19</v>
      </c>
      <c r="B9" s="45" t="s">
        <v>20</v>
      </c>
      <c r="C9" s="42">
        <v>16808890</v>
      </c>
      <c r="D9" s="28">
        <v>14475864.17</v>
      </c>
      <c r="E9" s="43">
        <f t="shared" si="0"/>
        <v>-2333025.83</v>
      </c>
      <c r="F9" s="31">
        <f>E9/10000</f>
        <v>-233.302583</v>
      </c>
      <c r="G9" s="25" t="s">
        <v>21</v>
      </c>
      <c r="H9" s="35" t="s">
        <v>22</v>
      </c>
    </row>
    <row r="10" s="1" customFormat="1" ht="48" customHeight="1" spans="1:12">
      <c r="A10" s="41" t="s">
        <v>23</v>
      </c>
      <c r="B10" s="45" t="s">
        <v>24</v>
      </c>
      <c r="C10" s="42">
        <v>171318408</v>
      </c>
      <c r="D10" s="28">
        <f>D11+D18</f>
        <v>163694595.57</v>
      </c>
      <c r="E10" s="43">
        <f t="shared" si="0"/>
        <v>-7623812.43000001</v>
      </c>
      <c r="F10" s="31">
        <f t="shared" ref="F9:F30" si="1">E10/10000</f>
        <v>-762.381243000001</v>
      </c>
      <c r="G10" s="28" t="s">
        <v>25</v>
      </c>
      <c r="H10" s="35" t="s">
        <v>26</v>
      </c>
      <c r="K10" s="1">
        <f>22+24+8</f>
        <v>54</v>
      </c>
      <c r="L10" s="1">
        <f>K10*190000</f>
        <v>10260000</v>
      </c>
    </row>
    <row r="11" s="1" customFormat="1" ht="48" customHeight="1" outlineLevel="1" spans="1:8">
      <c r="A11" s="41">
        <v>3.1</v>
      </c>
      <c r="B11" s="45" t="s">
        <v>27</v>
      </c>
      <c r="C11" s="42"/>
      <c r="D11" s="28">
        <f>SUM(D12:D17)</f>
        <v>49419817.05</v>
      </c>
      <c r="E11" s="28"/>
      <c r="F11" s="31">
        <f t="shared" si="1"/>
        <v>0</v>
      </c>
      <c r="G11" s="28"/>
      <c r="H11" s="35"/>
    </row>
    <row r="12" ht="48" customHeight="1" outlineLevel="1" spans="1:8">
      <c r="A12" s="47">
        <v>3.11</v>
      </c>
      <c r="B12" s="48" t="s">
        <v>28</v>
      </c>
      <c r="C12" s="49"/>
      <c r="D12" s="25">
        <v>20272637.33</v>
      </c>
      <c r="E12" s="25"/>
      <c r="F12" s="31">
        <f t="shared" si="1"/>
        <v>0</v>
      </c>
      <c r="G12" s="25"/>
      <c r="H12" s="36"/>
    </row>
    <row r="13" ht="48" customHeight="1" outlineLevel="1" spans="1:11">
      <c r="A13" s="47">
        <v>3.12</v>
      </c>
      <c r="B13" s="48" t="s">
        <v>29</v>
      </c>
      <c r="C13" s="49"/>
      <c r="D13" s="25">
        <v>15100735.9</v>
      </c>
      <c r="E13" s="25"/>
      <c r="F13" s="31">
        <f t="shared" si="1"/>
        <v>0</v>
      </c>
      <c r="G13" s="25"/>
      <c r="H13" s="36"/>
      <c r="J13">
        <v>350000000</v>
      </c>
      <c r="K13">
        <f>J13*0.45%</f>
        <v>1575000</v>
      </c>
    </row>
    <row r="14" ht="48" customHeight="1" outlineLevel="1" spans="1:8">
      <c r="A14" s="47">
        <v>3.13</v>
      </c>
      <c r="B14" s="48" t="s">
        <v>30</v>
      </c>
      <c r="C14" s="49"/>
      <c r="D14" s="25">
        <v>1039352.25</v>
      </c>
      <c r="E14" s="25"/>
      <c r="F14" s="31">
        <f t="shared" si="1"/>
        <v>0</v>
      </c>
      <c r="G14" s="25"/>
      <c r="H14" s="36"/>
    </row>
    <row r="15" ht="48" customHeight="1" outlineLevel="1" spans="1:8">
      <c r="A15" s="47">
        <v>3.14</v>
      </c>
      <c r="B15" s="48" t="s">
        <v>31</v>
      </c>
      <c r="C15" s="49"/>
      <c r="D15" s="25">
        <v>1017398.39</v>
      </c>
      <c r="E15" s="25"/>
      <c r="F15" s="31">
        <f t="shared" si="1"/>
        <v>0</v>
      </c>
      <c r="G15" s="25"/>
      <c r="H15" s="36"/>
    </row>
    <row r="16" ht="48" customHeight="1" outlineLevel="1" spans="1:8">
      <c r="A16" s="47">
        <v>3.15</v>
      </c>
      <c r="B16" s="48" t="s">
        <v>32</v>
      </c>
      <c r="C16" s="49"/>
      <c r="D16" s="25">
        <v>184616.5</v>
      </c>
      <c r="E16" s="25"/>
      <c r="F16" s="31">
        <f t="shared" si="1"/>
        <v>0</v>
      </c>
      <c r="G16" s="25"/>
      <c r="H16" s="36"/>
    </row>
    <row r="17" ht="48" customHeight="1" outlineLevel="1" spans="1:8">
      <c r="A17" s="47">
        <v>3.16</v>
      </c>
      <c r="B17" s="48" t="s">
        <v>33</v>
      </c>
      <c r="C17" s="49"/>
      <c r="D17" s="25">
        <v>11805076.68</v>
      </c>
      <c r="E17" s="25"/>
      <c r="F17" s="31">
        <f t="shared" si="1"/>
        <v>0</v>
      </c>
      <c r="G17" s="25"/>
      <c r="H17" s="36"/>
    </row>
    <row r="18" s="1" customFormat="1" ht="48" customHeight="1" outlineLevel="1" spans="1:8">
      <c r="A18" s="41">
        <v>3.2</v>
      </c>
      <c r="B18" s="45" t="s">
        <v>34</v>
      </c>
      <c r="C18" s="42"/>
      <c r="D18" s="28">
        <f>SUM(D19:D26)</f>
        <v>114274778.52</v>
      </c>
      <c r="E18" s="28"/>
      <c r="F18" s="31">
        <f t="shared" si="1"/>
        <v>0</v>
      </c>
      <c r="G18" s="28"/>
      <c r="H18" s="35"/>
    </row>
    <row r="19" ht="48" customHeight="1" outlineLevel="1" spans="1:8">
      <c r="A19" s="47">
        <v>3.21</v>
      </c>
      <c r="B19" s="48" t="s">
        <v>35</v>
      </c>
      <c r="C19" s="49"/>
      <c r="D19" s="25">
        <v>34674623.42</v>
      </c>
      <c r="E19" s="25"/>
      <c r="F19" s="31">
        <f t="shared" si="1"/>
        <v>0</v>
      </c>
      <c r="G19" s="25"/>
      <c r="H19" s="36"/>
    </row>
    <row r="20" ht="48" customHeight="1" outlineLevel="1" spans="1:8">
      <c r="A20" s="47">
        <v>3.22</v>
      </c>
      <c r="B20" s="48" t="s">
        <v>36</v>
      </c>
      <c r="C20" s="49"/>
      <c r="D20" s="25">
        <v>338454.94</v>
      </c>
      <c r="E20" s="25"/>
      <c r="F20" s="31">
        <f t="shared" si="1"/>
        <v>0</v>
      </c>
      <c r="G20" s="25"/>
      <c r="H20" s="36"/>
    </row>
    <row r="21" ht="48" customHeight="1" outlineLevel="1" spans="1:8">
      <c r="A21" s="47">
        <v>3.23</v>
      </c>
      <c r="B21" s="48" t="s">
        <v>37</v>
      </c>
      <c r="C21" s="49"/>
      <c r="D21" s="25">
        <v>47923824.11</v>
      </c>
      <c r="E21" s="25"/>
      <c r="F21" s="31">
        <f t="shared" si="1"/>
        <v>0</v>
      </c>
      <c r="G21" s="25"/>
      <c r="H21" s="36"/>
    </row>
    <row r="22" ht="48" customHeight="1" outlineLevel="1" spans="1:8">
      <c r="A22" s="47">
        <v>3.24</v>
      </c>
      <c r="B22" s="48" t="s">
        <v>38</v>
      </c>
      <c r="C22" s="49"/>
      <c r="D22" s="25">
        <v>750800.65</v>
      </c>
      <c r="E22" s="25"/>
      <c r="F22" s="31">
        <f t="shared" si="1"/>
        <v>0</v>
      </c>
      <c r="G22" s="25"/>
      <c r="H22" s="36"/>
    </row>
    <row r="23" ht="48" customHeight="1" outlineLevel="1" spans="1:8">
      <c r="A23" s="47">
        <v>3.25</v>
      </c>
      <c r="B23" s="48" t="s">
        <v>39</v>
      </c>
      <c r="C23" s="49"/>
      <c r="D23" s="25">
        <v>7512706.18</v>
      </c>
      <c r="E23" s="25"/>
      <c r="F23" s="31">
        <f t="shared" si="1"/>
        <v>0</v>
      </c>
      <c r="G23" s="25"/>
      <c r="H23" s="36"/>
    </row>
    <row r="24" ht="48" customHeight="1" outlineLevel="1" spans="1:8">
      <c r="A24" s="47">
        <v>3.26</v>
      </c>
      <c r="B24" s="48" t="s">
        <v>40</v>
      </c>
      <c r="C24" s="49"/>
      <c r="D24" s="25">
        <v>20525726.54</v>
      </c>
      <c r="E24" s="25"/>
      <c r="F24" s="31">
        <f t="shared" si="1"/>
        <v>0</v>
      </c>
      <c r="G24" s="25"/>
      <c r="H24" s="36"/>
    </row>
    <row r="25" ht="48" customHeight="1" outlineLevel="1" spans="1:8">
      <c r="A25" s="47">
        <v>3.27</v>
      </c>
      <c r="B25" s="48" t="s">
        <v>41</v>
      </c>
      <c r="C25" s="49"/>
      <c r="D25" s="25">
        <v>2060039.75</v>
      </c>
      <c r="E25" s="25"/>
      <c r="F25" s="31">
        <f t="shared" si="1"/>
        <v>0</v>
      </c>
      <c r="G25" s="25"/>
      <c r="H25" s="36"/>
    </row>
    <row r="26" ht="48" customHeight="1" outlineLevel="1" spans="1:8">
      <c r="A26" s="47">
        <v>3.28</v>
      </c>
      <c r="B26" s="48" t="s">
        <v>42</v>
      </c>
      <c r="C26" s="49"/>
      <c r="D26" s="25">
        <v>488602.93</v>
      </c>
      <c r="E26" s="25"/>
      <c r="F26" s="31">
        <f t="shared" si="1"/>
        <v>0</v>
      </c>
      <c r="G26" s="25"/>
      <c r="H26" s="36"/>
    </row>
    <row r="27" s="1" customFormat="1" ht="48" customHeight="1" spans="1:8">
      <c r="A27" s="41">
        <v>4</v>
      </c>
      <c r="B27" s="45" t="s">
        <v>43</v>
      </c>
      <c r="C27" s="42">
        <v>48121421</v>
      </c>
      <c r="D27" s="28">
        <v>28684232.22</v>
      </c>
      <c r="E27" s="43">
        <f>D27-C27</f>
        <v>-19437188.78</v>
      </c>
      <c r="F27" s="31">
        <f t="shared" si="1"/>
        <v>-1943.718878</v>
      </c>
      <c r="G27" s="28" t="s">
        <v>44</v>
      </c>
      <c r="H27" s="35"/>
    </row>
    <row r="28" s="1" customFormat="1" ht="48" customHeight="1" spans="1:8">
      <c r="A28" s="41">
        <v>5</v>
      </c>
      <c r="B28" s="45" t="s">
        <v>45</v>
      </c>
      <c r="C28" s="42">
        <v>53993297</v>
      </c>
      <c r="D28" s="28">
        <v>51964686.18</v>
      </c>
      <c r="E28" s="43">
        <f>D28-C28</f>
        <v>-2028610.82</v>
      </c>
      <c r="F28" s="31">
        <f t="shared" si="1"/>
        <v>-202.861082</v>
      </c>
      <c r="G28" s="28" t="s">
        <v>46</v>
      </c>
      <c r="H28" s="35" t="s">
        <v>47</v>
      </c>
    </row>
    <row r="29" ht="48" customHeight="1" spans="1:10">
      <c r="A29" s="41" t="s">
        <v>48</v>
      </c>
      <c r="B29" s="45" t="s">
        <v>49</v>
      </c>
      <c r="C29" s="28">
        <f t="shared" ref="C29:F29" si="2">C30+C37+C44+C50+C56+C62+C69+C79+C81</f>
        <v>41269168.77</v>
      </c>
      <c r="D29" s="28">
        <f t="shared" si="2"/>
        <v>28426343.47</v>
      </c>
      <c r="E29" s="28">
        <f t="shared" si="2"/>
        <v>-12842825.3</v>
      </c>
      <c r="F29" s="31">
        <f t="shared" si="1"/>
        <v>-1284.28253</v>
      </c>
      <c r="G29" s="25"/>
      <c r="I29">
        <f>64348.24</f>
        <v>64348.24</v>
      </c>
      <c r="J29">
        <f>336000/I29</f>
        <v>5.2215880341094</v>
      </c>
    </row>
    <row r="30" ht="38" customHeight="1" spans="1:7">
      <c r="A30" s="4">
        <v>1</v>
      </c>
      <c r="B30" s="43" t="s">
        <v>50</v>
      </c>
      <c r="C30" s="43">
        <f>SUM(C31:C36)</f>
        <v>4571724.26</v>
      </c>
      <c r="D30" s="43">
        <f>SUM(D31:D36)</f>
        <v>3363327.53</v>
      </c>
      <c r="E30" s="43">
        <f>D30-C30</f>
        <v>-1208396.73</v>
      </c>
      <c r="F30" s="31">
        <f t="shared" si="1"/>
        <v>-120.839673</v>
      </c>
      <c r="G30" s="51"/>
    </row>
    <row r="31" ht="38" customHeight="1" spans="1:11">
      <c r="A31" s="6">
        <v>1.1</v>
      </c>
      <c r="B31" s="52" t="s">
        <v>51</v>
      </c>
      <c r="C31" s="6">
        <v>800792.51</v>
      </c>
      <c r="D31" s="52">
        <v>868185.79</v>
      </c>
      <c r="E31" s="52">
        <f t="shared" ref="E31:E62" si="3">D31-C31</f>
        <v>67393.28</v>
      </c>
      <c r="F31" s="33">
        <f t="shared" ref="F31:F62" si="4">E31/10000</f>
        <v>6.739328</v>
      </c>
      <c r="G31" s="54" t="s">
        <v>52</v>
      </c>
      <c r="K31">
        <f>F31+F38+F45+F51+F57+F63+F75+F76+F77+F78+F85+F86</f>
        <v>-16.439812</v>
      </c>
    </row>
    <row r="32" ht="38" customHeight="1" spans="1:11">
      <c r="A32" s="6">
        <v>1.2</v>
      </c>
      <c r="B32" s="52" t="s">
        <v>53</v>
      </c>
      <c r="C32" s="6">
        <v>3664352.89</v>
      </c>
      <c r="D32" s="52">
        <v>2421673.31</v>
      </c>
      <c r="E32" s="52">
        <f t="shared" si="3"/>
        <v>-1242679.58</v>
      </c>
      <c r="F32" s="33">
        <f t="shared" si="4"/>
        <v>-124.267958</v>
      </c>
      <c r="G32" s="54" t="s">
        <v>54</v>
      </c>
      <c r="K32" t="s">
        <v>55</v>
      </c>
    </row>
    <row r="33" ht="38" customHeight="1" spans="1:7">
      <c r="A33" s="6">
        <v>1.3</v>
      </c>
      <c r="B33" s="52" t="s">
        <v>56</v>
      </c>
      <c r="C33" s="6">
        <v>58020.71</v>
      </c>
      <c r="D33" s="52">
        <v>28506.08</v>
      </c>
      <c r="E33" s="52">
        <f t="shared" si="3"/>
        <v>-29514.63</v>
      </c>
      <c r="F33" s="33">
        <f t="shared" si="4"/>
        <v>-2.951463</v>
      </c>
      <c r="G33" s="54" t="s">
        <v>57</v>
      </c>
    </row>
    <row r="34" ht="38" customHeight="1" spans="1:10">
      <c r="A34" s="6">
        <v>1.4</v>
      </c>
      <c r="B34" s="52" t="s">
        <v>58</v>
      </c>
      <c r="C34" s="6">
        <v>42259.41</v>
      </c>
      <c r="D34" s="52">
        <v>41990.42</v>
      </c>
      <c r="E34" s="52">
        <f t="shared" si="3"/>
        <v>-268.990000000005</v>
      </c>
      <c r="F34" s="33">
        <f t="shared" si="4"/>
        <v>-0.0268990000000005</v>
      </c>
      <c r="G34" s="52"/>
      <c r="I34" t="s">
        <v>59</v>
      </c>
      <c r="J34" t="s">
        <v>59</v>
      </c>
    </row>
    <row r="35" ht="38" customHeight="1" spans="1:10">
      <c r="A35" s="6">
        <v>1.5</v>
      </c>
      <c r="B35" s="52" t="s">
        <v>60</v>
      </c>
      <c r="C35" s="6">
        <v>3713.85</v>
      </c>
      <c r="D35" s="52">
        <v>1684.46</v>
      </c>
      <c r="E35" s="52">
        <f t="shared" si="3"/>
        <v>-2029.39</v>
      </c>
      <c r="F35" s="33">
        <f t="shared" si="4"/>
        <v>-0.202939</v>
      </c>
      <c r="G35" s="54" t="s">
        <v>61</v>
      </c>
      <c r="I35">
        <f>80931.66*12</f>
        <v>971179.92</v>
      </c>
      <c r="J35">
        <f>60003.31+60003.31+25115.31+25115.31+35888.31+38479.31+39286.31+35485.31+32917.31+57160.31+16248.45+16248.45</f>
        <v>441951</v>
      </c>
    </row>
    <row r="36" ht="38" customHeight="1" spans="1:10">
      <c r="A36" s="6">
        <v>1.6</v>
      </c>
      <c r="B36" s="52" t="s">
        <v>62</v>
      </c>
      <c r="C36" s="6">
        <v>2584.89</v>
      </c>
      <c r="D36" s="52">
        <v>1287.47</v>
      </c>
      <c r="E36" s="52">
        <f t="shared" si="3"/>
        <v>-1297.42</v>
      </c>
      <c r="F36" s="33">
        <f t="shared" si="4"/>
        <v>-0.129742</v>
      </c>
      <c r="G36" s="54" t="s">
        <v>63</v>
      </c>
      <c r="J36">
        <f>I35-J35</f>
        <v>529228.92</v>
      </c>
    </row>
    <row r="37" ht="38" customHeight="1" spans="1:7">
      <c r="A37" s="4">
        <v>2</v>
      </c>
      <c r="B37" s="43" t="s">
        <v>64</v>
      </c>
      <c r="C37" s="43">
        <f>SUM(C38:C43)</f>
        <v>1048364.5</v>
      </c>
      <c r="D37" s="43">
        <f>SUM(D38:D43)</f>
        <v>1034866.9</v>
      </c>
      <c r="E37" s="43">
        <f t="shared" si="3"/>
        <v>-13497.6000000001</v>
      </c>
      <c r="F37" s="31">
        <f t="shared" si="4"/>
        <v>-1.34976000000001</v>
      </c>
      <c r="G37" s="52"/>
    </row>
    <row r="38" ht="38" customHeight="1" spans="1:7">
      <c r="A38" s="6">
        <v>2.1</v>
      </c>
      <c r="B38" s="52" t="s">
        <v>65</v>
      </c>
      <c r="C38" s="52">
        <v>764789.32</v>
      </c>
      <c r="D38" s="111">
        <v>819985.23</v>
      </c>
      <c r="E38" s="52">
        <f t="shared" si="3"/>
        <v>55195.91</v>
      </c>
      <c r="F38" s="33">
        <f t="shared" si="4"/>
        <v>5.519591</v>
      </c>
      <c r="G38" s="51" t="s">
        <v>66</v>
      </c>
    </row>
    <row r="39" ht="38" customHeight="1" spans="1:7">
      <c r="A39" s="6">
        <v>2.2</v>
      </c>
      <c r="B39" s="52" t="s">
        <v>67</v>
      </c>
      <c r="C39" s="52">
        <v>213848.83</v>
      </c>
      <c r="D39" s="52">
        <v>169202.48</v>
      </c>
      <c r="E39" s="52">
        <f t="shared" si="3"/>
        <v>-44646.35</v>
      </c>
      <c r="F39" s="33">
        <f t="shared" si="4"/>
        <v>-4.464635</v>
      </c>
      <c r="G39" s="51" t="s">
        <v>68</v>
      </c>
    </row>
    <row r="40" ht="38" customHeight="1" spans="1:7">
      <c r="A40" s="6">
        <v>2.3</v>
      </c>
      <c r="B40" s="52" t="s">
        <v>69</v>
      </c>
      <c r="C40" s="52">
        <v>48424.01</v>
      </c>
      <c r="D40" s="52">
        <v>23765.32</v>
      </c>
      <c r="E40" s="52">
        <f t="shared" si="3"/>
        <v>-24658.69</v>
      </c>
      <c r="F40" s="33">
        <f t="shared" si="4"/>
        <v>-2.465869</v>
      </c>
      <c r="G40" s="54" t="s">
        <v>70</v>
      </c>
    </row>
    <row r="41" ht="38" customHeight="1" spans="1:7">
      <c r="A41" s="6">
        <v>2.4</v>
      </c>
      <c r="B41" s="52" t="s">
        <v>71</v>
      </c>
      <c r="C41" s="52">
        <v>5511.29</v>
      </c>
      <c r="D41" s="52">
        <v>8930.11</v>
      </c>
      <c r="E41" s="52">
        <f t="shared" si="3"/>
        <v>3418.82</v>
      </c>
      <c r="F41" s="33">
        <f t="shared" si="4"/>
        <v>0.341882</v>
      </c>
      <c r="G41" s="54" t="s">
        <v>72</v>
      </c>
    </row>
    <row r="42" ht="38" customHeight="1" spans="1:7">
      <c r="A42" s="6">
        <v>2.5</v>
      </c>
      <c r="B42" s="52" t="s">
        <v>73</v>
      </c>
      <c r="C42" s="52">
        <v>14067.78</v>
      </c>
      <c r="D42" s="52">
        <v>12125.99</v>
      </c>
      <c r="E42" s="52">
        <f t="shared" si="3"/>
        <v>-1941.79</v>
      </c>
      <c r="F42" s="33">
        <f t="shared" si="4"/>
        <v>-0.194179</v>
      </c>
      <c r="G42" s="54" t="s">
        <v>74</v>
      </c>
    </row>
    <row r="43" ht="38" customHeight="1" spans="1:7">
      <c r="A43" s="6">
        <v>2.6</v>
      </c>
      <c r="B43" s="52" t="s">
        <v>75</v>
      </c>
      <c r="C43" s="52">
        <v>1723.27</v>
      </c>
      <c r="D43" s="52">
        <v>857.77</v>
      </c>
      <c r="E43" s="52">
        <f t="shared" si="3"/>
        <v>-865.5</v>
      </c>
      <c r="F43" s="33">
        <f t="shared" si="4"/>
        <v>-0.08655</v>
      </c>
      <c r="G43" s="54"/>
    </row>
    <row r="44" ht="38" customHeight="1" spans="1:7">
      <c r="A44" s="4">
        <v>3</v>
      </c>
      <c r="B44" s="43" t="s">
        <v>76</v>
      </c>
      <c r="C44" s="43">
        <f>SUM(C45:C49)</f>
        <v>132922.97</v>
      </c>
      <c r="D44" s="43">
        <f>SUM(D45:D49)</f>
        <v>97412.5</v>
      </c>
      <c r="E44" s="43">
        <f t="shared" si="3"/>
        <v>-35510.47</v>
      </c>
      <c r="F44" s="31">
        <f t="shared" si="4"/>
        <v>-3.551047</v>
      </c>
      <c r="G44" s="43"/>
    </row>
    <row r="45" ht="48" customHeight="1" spans="1:7">
      <c r="A45" s="6">
        <v>3.1</v>
      </c>
      <c r="B45" s="52" t="s">
        <v>77</v>
      </c>
      <c r="C45" s="52">
        <v>83444.35</v>
      </c>
      <c r="D45" s="52">
        <v>60278.43</v>
      </c>
      <c r="E45" s="52">
        <f t="shared" si="3"/>
        <v>-23165.92</v>
      </c>
      <c r="F45" s="33">
        <f t="shared" si="4"/>
        <v>-2.316592</v>
      </c>
      <c r="G45" s="54" t="s">
        <v>78</v>
      </c>
    </row>
    <row r="46" ht="38" customHeight="1" spans="1:7">
      <c r="A46" s="6">
        <v>3.2</v>
      </c>
      <c r="B46" s="52" t="s">
        <v>79</v>
      </c>
      <c r="C46" s="52">
        <v>19036.44</v>
      </c>
      <c r="D46" s="52">
        <v>21850.39</v>
      </c>
      <c r="E46" s="52">
        <f t="shared" si="3"/>
        <v>2813.95</v>
      </c>
      <c r="F46" s="33">
        <f t="shared" si="4"/>
        <v>0.281395</v>
      </c>
      <c r="G46" s="54" t="s">
        <v>80</v>
      </c>
    </row>
    <row r="47" ht="38" customHeight="1" spans="1:7">
      <c r="A47" s="6">
        <v>3.3</v>
      </c>
      <c r="B47" s="52" t="s">
        <v>81</v>
      </c>
      <c r="C47" s="52">
        <v>3142.97</v>
      </c>
      <c r="D47" s="52">
        <v>2907.51</v>
      </c>
      <c r="E47" s="52">
        <f t="shared" si="3"/>
        <v>-235.46</v>
      </c>
      <c r="F47" s="33">
        <f t="shared" si="4"/>
        <v>-0.023546</v>
      </c>
      <c r="G47" s="52"/>
    </row>
    <row r="48" ht="38" customHeight="1" spans="1:7">
      <c r="A48" s="6">
        <v>3.4</v>
      </c>
      <c r="B48" s="52" t="s">
        <v>82</v>
      </c>
      <c r="C48" s="52">
        <v>26868.4</v>
      </c>
      <c r="D48" s="52">
        <v>12161.72</v>
      </c>
      <c r="E48" s="52">
        <f t="shared" si="3"/>
        <v>-14706.68</v>
      </c>
      <c r="F48" s="33">
        <f t="shared" si="4"/>
        <v>-1.470668</v>
      </c>
      <c r="G48" s="54" t="s">
        <v>83</v>
      </c>
    </row>
    <row r="49" ht="38" customHeight="1" spans="1:7">
      <c r="A49" s="6">
        <v>3.5</v>
      </c>
      <c r="B49" s="52" t="s">
        <v>84</v>
      </c>
      <c r="C49" s="52">
        <v>430.81</v>
      </c>
      <c r="D49" s="52">
        <v>214.45</v>
      </c>
      <c r="E49" s="52">
        <f t="shared" si="3"/>
        <v>-216.36</v>
      </c>
      <c r="F49" s="33">
        <f t="shared" si="4"/>
        <v>-0.021636</v>
      </c>
      <c r="G49" s="52"/>
    </row>
    <row r="50" ht="38" customHeight="1" spans="1:7">
      <c r="A50" s="6">
        <v>4</v>
      </c>
      <c r="B50" s="43" t="s">
        <v>85</v>
      </c>
      <c r="C50" s="43">
        <f>SUM(C51:C55)</f>
        <v>103817.66</v>
      </c>
      <c r="D50" s="43">
        <f>SUM(D51:D55)</f>
        <v>70661.59</v>
      </c>
      <c r="E50" s="43">
        <f t="shared" si="3"/>
        <v>-33156.07</v>
      </c>
      <c r="F50" s="31">
        <f t="shared" si="4"/>
        <v>-3.315607</v>
      </c>
      <c r="G50" s="52"/>
    </row>
    <row r="51" ht="38" customHeight="1" spans="1:7">
      <c r="A51" s="6">
        <v>4.1</v>
      </c>
      <c r="B51" s="52" t="s">
        <v>86</v>
      </c>
      <c r="C51" s="52">
        <v>68858.94</v>
      </c>
      <c r="D51" s="52">
        <v>40212.56</v>
      </c>
      <c r="E51" s="52">
        <f t="shared" si="3"/>
        <v>-28646.38</v>
      </c>
      <c r="F51" s="33">
        <f t="shared" si="4"/>
        <v>-2.864638</v>
      </c>
      <c r="G51" s="51" t="s">
        <v>87</v>
      </c>
    </row>
    <row r="52" ht="38" customHeight="1" spans="1:7">
      <c r="A52" s="6">
        <v>4.2</v>
      </c>
      <c r="B52" s="52" t="s">
        <v>88</v>
      </c>
      <c r="C52" s="52">
        <v>13546.41</v>
      </c>
      <c r="D52" s="52">
        <v>15457.14</v>
      </c>
      <c r="E52" s="52">
        <f t="shared" si="3"/>
        <v>1910.73</v>
      </c>
      <c r="F52" s="33">
        <f t="shared" si="4"/>
        <v>0.191073</v>
      </c>
      <c r="G52" s="54" t="s">
        <v>89</v>
      </c>
    </row>
    <row r="53" ht="38" customHeight="1" spans="1:7">
      <c r="A53" s="6">
        <v>4.3</v>
      </c>
      <c r="B53" s="52" t="s">
        <v>90</v>
      </c>
      <c r="C53" s="52">
        <v>3142.97</v>
      </c>
      <c r="D53" s="52">
        <v>2907.51</v>
      </c>
      <c r="E53" s="52">
        <f t="shared" si="3"/>
        <v>-235.46</v>
      </c>
      <c r="F53" s="33">
        <f t="shared" si="4"/>
        <v>-0.023546</v>
      </c>
      <c r="G53" s="52"/>
    </row>
    <row r="54" ht="38" customHeight="1" spans="1:7">
      <c r="A54" s="6">
        <v>4.4</v>
      </c>
      <c r="B54" s="52" t="s">
        <v>91</v>
      </c>
      <c r="C54" s="52">
        <v>17838.53</v>
      </c>
      <c r="D54" s="52">
        <v>11869.93</v>
      </c>
      <c r="E54" s="52">
        <f t="shared" si="3"/>
        <v>-5968.6</v>
      </c>
      <c r="F54" s="33">
        <f t="shared" si="4"/>
        <v>-0.59686</v>
      </c>
      <c r="G54" s="54" t="s">
        <v>92</v>
      </c>
    </row>
    <row r="55" ht="36" customHeight="1" spans="1:7">
      <c r="A55" s="6">
        <v>4.5</v>
      </c>
      <c r="B55" s="52" t="s">
        <v>93</v>
      </c>
      <c r="C55" s="52">
        <v>430.81</v>
      </c>
      <c r="D55" s="52">
        <v>214.45</v>
      </c>
      <c r="E55" s="52">
        <f t="shared" si="3"/>
        <v>-216.36</v>
      </c>
      <c r="F55" s="33">
        <f t="shared" si="4"/>
        <v>-0.021636</v>
      </c>
      <c r="G55" s="52"/>
    </row>
    <row r="56" ht="36" customHeight="1" spans="1:7">
      <c r="A56" s="6">
        <v>5</v>
      </c>
      <c r="B56" s="43" t="s">
        <v>94</v>
      </c>
      <c r="C56" s="43">
        <f>SUM(C57:C61)</f>
        <v>105800.45</v>
      </c>
      <c r="D56" s="43">
        <f>SUM(D57:D61)</f>
        <v>69822.14</v>
      </c>
      <c r="E56" s="43">
        <f t="shared" si="3"/>
        <v>-35978.31</v>
      </c>
      <c r="F56" s="31">
        <f t="shared" si="4"/>
        <v>-3.597831</v>
      </c>
      <c r="G56" s="52"/>
    </row>
    <row r="57" ht="36" customHeight="1" spans="1:7">
      <c r="A57" s="6">
        <v>5.1</v>
      </c>
      <c r="B57" s="52" t="s">
        <v>95</v>
      </c>
      <c r="C57" s="52">
        <v>67869.37</v>
      </c>
      <c r="D57" s="52">
        <v>38461.39</v>
      </c>
      <c r="E57" s="52">
        <f t="shared" si="3"/>
        <v>-29407.98</v>
      </c>
      <c r="F57" s="33">
        <f t="shared" si="4"/>
        <v>-2.940798</v>
      </c>
      <c r="G57" s="51" t="s">
        <v>96</v>
      </c>
    </row>
    <row r="58" ht="36" customHeight="1" spans="1:7">
      <c r="A58" s="6">
        <v>5.2</v>
      </c>
      <c r="B58" s="52" t="s">
        <v>97</v>
      </c>
      <c r="C58" s="52">
        <v>13676.11</v>
      </c>
      <c r="D58" s="52">
        <v>16237.79</v>
      </c>
      <c r="E58" s="52">
        <f t="shared" si="3"/>
        <v>2561.68</v>
      </c>
      <c r="F58" s="33">
        <f t="shared" si="4"/>
        <v>0.256168</v>
      </c>
      <c r="G58" s="54" t="s">
        <v>98</v>
      </c>
    </row>
    <row r="59" ht="36" customHeight="1" spans="1:7">
      <c r="A59" s="6">
        <v>5.3</v>
      </c>
      <c r="B59" s="52" t="s">
        <v>99</v>
      </c>
      <c r="C59" s="52">
        <v>3142.97</v>
      </c>
      <c r="D59" s="52">
        <v>2907.51</v>
      </c>
      <c r="E59" s="52">
        <f t="shared" si="3"/>
        <v>-235.46</v>
      </c>
      <c r="F59" s="33">
        <f t="shared" si="4"/>
        <v>-0.023546</v>
      </c>
      <c r="G59" s="52"/>
    </row>
    <row r="60" ht="36" customHeight="1" spans="1:7">
      <c r="A60" s="6">
        <v>5.4</v>
      </c>
      <c r="B60" s="52" t="s">
        <v>100</v>
      </c>
      <c r="C60" s="52">
        <v>20681.19</v>
      </c>
      <c r="D60" s="52">
        <v>12001</v>
      </c>
      <c r="E60" s="52">
        <f t="shared" si="3"/>
        <v>-8680.19</v>
      </c>
      <c r="F60" s="33">
        <f t="shared" si="4"/>
        <v>-0.868019</v>
      </c>
      <c r="G60" s="54" t="s">
        <v>101</v>
      </c>
    </row>
    <row r="61" ht="36" customHeight="1" spans="1:7">
      <c r="A61" s="6">
        <v>5.5</v>
      </c>
      <c r="B61" s="52" t="s">
        <v>102</v>
      </c>
      <c r="C61" s="52">
        <v>430.81</v>
      </c>
      <c r="D61" s="52">
        <v>214.45</v>
      </c>
      <c r="E61" s="52">
        <f t="shared" si="3"/>
        <v>-216.36</v>
      </c>
      <c r="F61" s="33">
        <f t="shared" si="4"/>
        <v>-0.021636</v>
      </c>
      <c r="G61" s="52"/>
    </row>
    <row r="62" ht="36" customHeight="1" spans="1:7">
      <c r="A62" s="4">
        <v>6</v>
      </c>
      <c r="B62" s="43" t="s">
        <v>103</v>
      </c>
      <c r="C62" s="43">
        <f>SUM(C63:C68)</f>
        <v>257973.28</v>
      </c>
      <c r="D62" s="43">
        <f>SUM(D63:D68)</f>
        <v>164813.34</v>
      </c>
      <c r="E62" s="43">
        <f t="shared" si="3"/>
        <v>-93159.94</v>
      </c>
      <c r="F62" s="31">
        <f t="shared" si="4"/>
        <v>-9.315994</v>
      </c>
      <c r="G62" s="43"/>
    </row>
    <row r="63" ht="36" customHeight="1" spans="1:7">
      <c r="A63" s="6">
        <v>6.1</v>
      </c>
      <c r="B63" s="52" t="s">
        <v>104</v>
      </c>
      <c r="C63" s="52">
        <v>131844.68</v>
      </c>
      <c r="D63" s="52">
        <v>57554.74</v>
      </c>
      <c r="E63" s="52">
        <f t="shared" ref="E63:E89" si="5">D63-C63</f>
        <v>-74289.94</v>
      </c>
      <c r="F63" s="33">
        <f t="shared" ref="F63:F91" si="6">E63/10000</f>
        <v>-7.428994</v>
      </c>
      <c r="G63" s="51" t="s">
        <v>105</v>
      </c>
    </row>
    <row r="64" customFormat="1" ht="36" customHeight="1" spans="1:7">
      <c r="A64" s="6">
        <v>6.2</v>
      </c>
      <c r="B64" s="52" t="s">
        <v>106</v>
      </c>
      <c r="C64" s="52">
        <v>64050.2</v>
      </c>
      <c r="D64" s="52">
        <v>70848.18</v>
      </c>
      <c r="E64" s="52">
        <f t="shared" si="5"/>
        <v>6797.98</v>
      </c>
      <c r="F64" s="33">
        <f t="shared" si="6"/>
        <v>0.679798</v>
      </c>
      <c r="G64" s="52"/>
    </row>
    <row r="65" customFormat="1" ht="36" customHeight="1" spans="1:7">
      <c r="A65" s="6">
        <v>6.3</v>
      </c>
      <c r="B65" s="52" t="s">
        <v>107</v>
      </c>
      <c r="C65" s="52">
        <v>9144.11</v>
      </c>
      <c r="D65" s="52">
        <v>15811.05</v>
      </c>
      <c r="E65" s="52">
        <f t="shared" si="5"/>
        <v>6666.94</v>
      </c>
      <c r="F65" s="33">
        <f t="shared" si="6"/>
        <v>0.666694</v>
      </c>
      <c r="G65" s="52"/>
    </row>
    <row r="66" customFormat="1" ht="36" customHeight="1" spans="1:7">
      <c r="A66" s="6">
        <v>6.4</v>
      </c>
      <c r="B66" s="52" t="s">
        <v>108</v>
      </c>
      <c r="C66" s="52">
        <v>40748.43</v>
      </c>
      <c r="D66" s="14">
        <v>11954.86</v>
      </c>
      <c r="E66" s="52">
        <f t="shared" si="5"/>
        <v>-28793.57</v>
      </c>
      <c r="F66" s="33">
        <f t="shared" si="6"/>
        <v>-2.879357</v>
      </c>
      <c r="G66" s="54" t="s">
        <v>109</v>
      </c>
    </row>
    <row r="67" customFormat="1" ht="36" customHeight="1" spans="1:7">
      <c r="A67" s="6">
        <v>6.5</v>
      </c>
      <c r="B67" s="52" t="s">
        <v>110</v>
      </c>
      <c r="C67" s="52">
        <v>11755.05</v>
      </c>
      <c r="D67" s="52">
        <v>8430.06</v>
      </c>
      <c r="E67" s="52">
        <f t="shared" si="5"/>
        <v>-3324.99</v>
      </c>
      <c r="F67" s="33">
        <f t="shared" si="6"/>
        <v>-0.332499</v>
      </c>
      <c r="G67" s="52"/>
    </row>
    <row r="68" customFormat="1" ht="36" customHeight="1" spans="1:7">
      <c r="A68" s="6">
        <v>6.6</v>
      </c>
      <c r="B68" s="52" t="s">
        <v>111</v>
      </c>
      <c r="C68" s="52">
        <v>430.81</v>
      </c>
      <c r="D68" s="52">
        <v>214.45</v>
      </c>
      <c r="E68" s="52">
        <f t="shared" si="5"/>
        <v>-216.36</v>
      </c>
      <c r="F68" s="33">
        <f t="shared" si="6"/>
        <v>-0.021636</v>
      </c>
      <c r="G68" s="52"/>
    </row>
    <row r="69" customFormat="1" ht="36" customHeight="1" spans="1:7">
      <c r="A69" s="4">
        <v>7</v>
      </c>
      <c r="B69" s="43" t="s">
        <v>112</v>
      </c>
      <c r="C69" s="43">
        <f>SUM(C70:C78)</f>
        <v>23744636.49</v>
      </c>
      <c r="D69" s="43">
        <f>SUM(D70:D78)</f>
        <v>16794064.34</v>
      </c>
      <c r="E69" s="43">
        <f t="shared" si="5"/>
        <v>-6950572.15</v>
      </c>
      <c r="F69" s="31">
        <f t="shared" si="6"/>
        <v>-695.057215</v>
      </c>
      <c r="G69" s="43"/>
    </row>
    <row r="70" customFormat="1" ht="123" customHeight="1" spans="1:7">
      <c r="A70" s="6">
        <v>7.1</v>
      </c>
      <c r="B70" s="52" t="s">
        <v>113</v>
      </c>
      <c r="C70" s="52">
        <v>5510195.95</v>
      </c>
      <c r="D70" s="52">
        <v>5250493.23</v>
      </c>
      <c r="E70" s="52">
        <f t="shared" si="5"/>
        <v>-259702.72</v>
      </c>
      <c r="F70" s="33">
        <f t="shared" si="6"/>
        <v>-25.970272</v>
      </c>
      <c r="G70" s="51" t="s">
        <v>114</v>
      </c>
    </row>
    <row r="71" customFormat="1" ht="36" customHeight="1" spans="1:7">
      <c r="A71" s="6">
        <v>7.2</v>
      </c>
      <c r="B71" s="52" t="s">
        <v>115</v>
      </c>
      <c r="C71" s="52">
        <v>449618.3</v>
      </c>
      <c r="D71" s="52">
        <v>164014.83</v>
      </c>
      <c r="E71" s="52">
        <f t="shared" si="5"/>
        <v>-285603.47</v>
      </c>
      <c r="F71" s="33">
        <f t="shared" si="6"/>
        <v>-28.560347</v>
      </c>
      <c r="G71" s="51" t="s">
        <v>116</v>
      </c>
    </row>
    <row r="72" customFormat="1" ht="36" customHeight="1" spans="1:7">
      <c r="A72" s="6">
        <v>7.3</v>
      </c>
      <c r="B72" s="52" t="s">
        <v>117</v>
      </c>
      <c r="C72" s="52">
        <v>522465.7</v>
      </c>
      <c r="D72" s="33">
        <v>432720.72</v>
      </c>
      <c r="E72" s="52">
        <f t="shared" si="5"/>
        <v>-89744.98</v>
      </c>
      <c r="F72" s="33">
        <f t="shared" si="6"/>
        <v>-8.974498</v>
      </c>
      <c r="G72" s="51" t="s">
        <v>118</v>
      </c>
    </row>
    <row r="73" customFormat="1" ht="108" customHeight="1" spans="1:7">
      <c r="A73" s="6">
        <v>7.4</v>
      </c>
      <c r="B73" s="52" t="s">
        <v>119</v>
      </c>
      <c r="C73" s="52">
        <v>13210737.73</v>
      </c>
      <c r="D73" s="52">
        <v>8003040.89</v>
      </c>
      <c r="E73" s="52">
        <f t="shared" si="5"/>
        <v>-5207696.84</v>
      </c>
      <c r="F73" s="33">
        <f t="shared" si="6"/>
        <v>-520.769684</v>
      </c>
      <c r="G73" s="51" t="s">
        <v>120</v>
      </c>
    </row>
    <row r="74" customFormat="1" ht="76" customHeight="1" spans="1:7">
      <c r="A74" s="6">
        <v>7.5</v>
      </c>
      <c r="B74" s="52" t="s">
        <v>121</v>
      </c>
      <c r="C74" s="52">
        <v>2544339.16</v>
      </c>
      <c r="D74" s="52">
        <v>1609631.09</v>
      </c>
      <c r="E74" s="52">
        <f t="shared" si="5"/>
        <v>-934708.07</v>
      </c>
      <c r="F74" s="33">
        <f t="shared" si="6"/>
        <v>-93.470807</v>
      </c>
      <c r="G74" s="51" t="s">
        <v>122</v>
      </c>
    </row>
    <row r="75" customFormat="1" ht="36" customHeight="1" spans="1:7">
      <c r="A75" s="6">
        <v>7.6</v>
      </c>
      <c r="B75" s="52" t="s">
        <v>123</v>
      </c>
      <c r="C75" s="52">
        <v>27884.88</v>
      </c>
      <c r="D75" s="52">
        <v>17522.9</v>
      </c>
      <c r="E75" s="52">
        <f t="shared" si="5"/>
        <v>-10361.98</v>
      </c>
      <c r="F75" s="33">
        <f t="shared" si="6"/>
        <v>-1.036198</v>
      </c>
      <c r="G75" s="52"/>
    </row>
    <row r="76" customFormat="1" ht="58" customHeight="1" spans="1:7">
      <c r="A76" s="6">
        <v>7.7</v>
      </c>
      <c r="B76" s="52" t="s">
        <v>124</v>
      </c>
      <c r="C76" s="52">
        <v>409743.85</v>
      </c>
      <c r="D76" s="111">
        <v>370688.98</v>
      </c>
      <c r="E76" s="52">
        <f t="shared" si="5"/>
        <v>-39054.87</v>
      </c>
      <c r="F76" s="33">
        <f t="shared" si="6"/>
        <v>-3.905487</v>
      </c>
      <c r="G76" s="51" t="s">
        <v>125</v>
      </c>
    </row>
    <row r="77" customFormat="1" ht="36" customHeight="1" spans="1:7">
      <c r="A77" s="6">
        <v>7.8</v>
      </c>
      <c r="B77" s="52" t="s">
        <v>126</v>
      </c>
      <c r="C77" s="52">
        <v>16917.69</v>
      </c>
      <c r="D77" s="52">
        <v>21140.94</v>
      </c>
      <c r="E77" s="52">
        <f t="shared" si="5"/>
        <v>4223.25</v>
      </c>
      <c r="F77" s="33">
        <f t="shared" si="6"/>
        <v>0.422325</v>
      </c>
      <c r="G77" s="52"/>
    </row>
    <row r="78" customFormat="1" ht="65" customHeight="1" spans="1:7">
      <c r="A78" s="6">
        <v>7.9</v>
      </c>
      <c r="B78" s="52" t="s">
        <v>127</v>
      </c>
      <c r="C78" s="52">
        <v>1052733.23</v>
      </c>
      <c r="D78" s="111">
        <v>924810.76</v>
      </c>
      <c r="E78" s="52">
        <f t="shared" si="5"/>
        <v>-127922.47</v>
      </c>
      <c r="F78" s="33">
        <f t="shared" si="6"/>
        <v>-12.792247</v>
      </c>
      <c r="G78" s="51" t="s">
        <v>128</v>
      </c>
    </row>
    <row r="79" customFormat="1" ht="36" customHeight="1" spans="1:7">
      <c r="A79" s="4">
        <v>8</v>
      </c>
      <c r="B79" s="43" t="s">
        <v>129</v>
      </c>
      <c r="C79" s="43">
        <f>C80</f>
        <v>2504213.55</v>
      </c>
      <c r="D79" s="43">
        <f>D80</f>
        <v>1723413.12</v>
      </c>
      <c r="E79" s="43">
        <f t="shared" si="5"/>
        <v>-780800.43</v>
      </c>
      <c r="F79" s="31">
        <f t="shared" si="6"/>
        <v>-78.080043</v>
      </c>
      <c r="G79" s="43"/>
    </row>
    <row r="80" customFormat="1" ht="36" customHeight="1" spans="1:7">
      <c r="A80" s="6">
        <v>8.1</v>
      </c>
      <c r="B80" s="52" t="s">
        <v>130</v>
      </c>
      <c r="C80" s="52">
        <v>2504213.55</v>
      </c>
      <c r="D80" s="52">
        <v>1723413.12</v>
      </c>
      <c r="E80" s="52">
        <f t="shared" si="5"/>
        <v>-780800.43</v>
      </c>
      <c r="F80" s="33">
        <f t="shared" si="6"/>
        <v>-78.080043</v>
      </c>
      <c r="G80" s="52"/>
    </row>
    <row r="81" customFormat="1" ht="36" customHeight="1" spans="1:7">
      <c r="A81" s="4">
        <v>9</v>
      </c>
      <c r="B81" s="43" t="s">
        <v>131</v>
      </c>
      <c r="C81" s="43">
        <f>SUM(C82:C86)</f>
        <v>8799715.61</v>
      </c>
      <c r="D81" s="43">
        <f>SUM(D82:D86)</f>
        <v>5107962.01</v>
      </c>
      <c r="E81" s="43">
        <f t="shared" si="5"/>
        <v>-3691753.6</v>
      </c>
      <c r="F81" s="31">
        <f t="shared" si="6"/>
        <v>-369.17536</v>
      </c>
      <c r="G81" s="43"/>
    </row>
    <row r="82" customFormat="1" ht="36" customHeight="1" spans="1:7">
      <c r="A82" s="6">
        <v>9.1</v>
      </c>
      <c r="B82" s="51" t="s">
        <v>132</v>
      </c>
      <c r="C82" s="52">
        <v>5061584.67</v>
      </c>
      <c r="D82" s="52">
        <v>1275878.76</v>
      </c>
      <c r="E82" s="52">
        <f t="shared" si="5"/>
        <v>-3785705.91</v>
      </c>
      <c r="F82" s="33">
        <f t="shared" si="6"/>
        <v>-378.570591</v>
      </c>
      <c r="G82" s="51" t="s">
        <v>133</v>
      </c>
    </row>
    <row r="83" customFormat="1" ht="36" customHeight="1" spans="1:7">
      <c r="A83" s="6">
        <v>9.2</v>
      </c>
      <c r="B83" s="52" t="s">
        <v>134</v>
      </c>
      <c r="C83" s="52">
        <v>2067276.06</v>
      </c>
      <c r="D83" s="52">
        <v>2220513.27</v>
      </c>
      <c r="E83" s="52">
        <f t="shared" si="5"/>
        <v>153237.21</v>
      </c>
      <c r="F83" s="33">
        <f t="shared" si="6"/>
        <v>15.323721</v>
      </c>
      <c r="G83" s="51" t="s">
        <v>135</v>
      </c>
    </row>
    <row r="84" customFormat="1" ht="36" customHeight="1" spans="1:7">
      <c r="A84" s="6">
        <v>9.3</v>
      </c>
      <c r="B84" s="52" t="s">
        <v>136</v>
      </c>
      <c r="C84" s="52">
        <v>1374198.21</v>
      </c>
      <c r="D84" s="52">
        <v>1273274.33</v>
      </c>
      <c r="E84" s="52">
        <f t="shared" si="5"/>
        <v>-100923.88</v>
      </c>
      <c r="F84" s="33">
        <f t="shared" si="6"/>
        <v>-10.092388</v>
      </c>
      <c r="G84" s="51" t="s">
        <v>137</v>
      </c>
    </row>
    <row r="85" customFormat="1" ht="36" customHeight="1" spans="1:7">
      <c r="A85" s="6">
        <v>9.4</v>
      </c>
      <c r="B85" s="52" t="s">
        <v>138</v>
      </c>
      <c r="C85" s="52">
        <v>98727.19</v>
      </c>
      <c r="D85" s="52">
        <v>114957.51</v>
      </c>
      <c r="E85" s="52">
        <f t="shared" si="5"/>
        <v>16230.32</v>
      </c>
      <c r="F85" s="33">
        <f t="shared" si="6"/>
        <v>1.623032</v>
      </c>
      <c r="G85" s="51"/>
    </row>
    <row r="86" customFormat="1" ht="36" customHeight="1" spans="1:7">
      <c r="A86" s="6">
        <v>9.5</v>
      </c>
      <c r="B86" s="52" t="s">
        <v>138</v>
      </c>
      <c r="C86" s="52">
        <v>197929.48</v>
      </c>
      <c r="D86" s="52">
        <v>223338.14</v>
      </c>
      <c r="E86" s="52">
        <f t="shared" si="5"/>
        <v>25408.66</v>
      </c>
      <c r="F86" s="33">
        <f t="shared" si="6"/>
        <v>2.540866</v>
      </c>
      <c r="G86" s="51"/>
    </row>
    <row r="87" s="1" customFormat="1" ht="29" customHeight="1" spans="1:7">
      <c r="A87" s="41" t="s">
        <v>139</v>
      </c>
      <c r="B87" s="45" t="s">
        <v>140</v>
      </c>
      <c r="C87" s="28">
        <f>C88</f>
        <v>5951024</v>
      </c>
      <c r="D87" s="28">
        <f>D88</f>
        <v>1212375.33</v>
      </c>
      <c r="E87" s="46">
        <f t="shared" si="5"/>
        <v>-4738648.67</v>
      </c>
      <c r="F87" s="46">
        <f t="shared" si="6"/>
        <v>-473.864867</v>
      </c>
      <c r="G87" s="28"/>
    </row>
    <row r="88" ht="29" customHeight="1" spans="1:7">
      <c r="A88" s="95">
        <v>10</v>
      </c>
      <c r="B88" s="96" t="s">
        <v>141</v>
      </c>
      <c r="C88" s="109">
        <v>5951024</v>
      </c>
      <c r="D88" s="25">
        <v>1212375.33</v>
      </c>
      <c r="E88" s="80">
        <f t="shared" si="5"/>
        <v>-4738648.67</v>
      </c>
      <c r="F88" s="80">
        <f t="shared" si="6"/>
        <v>-473.864867</v>
      </c>
      <c r="G88" s="25" t="s">
        <v>142</v>
      </c>
    </row>
    <row r="89" s="11" customFormat="1" ht="27" customHeight="1" spans="1:7">
      <c r="A89" s="110" t="s">
        <v>143</v>
      </c>
      <c r="B89" s="29" t="s">
        <v>144</v>
      </c>
      <c r="C89" s="28">
        <f>(C88+C29+C5)*5%</f>
        <v>17374586.1885</v>
      </c>
      <c r="D89" s="28">
        <f>(D88+D29+D5)*5%</f>
        <v>14821616.533854</v>
      </c>
      <c r="E89" s="28">
        <f>(E88+E29+E5)*5%</f>
        <v>-2552969.654646</v>
      </c>
      <c r="F89" s="46">
        <f t="shared" si="6"/>
        <v>-255.2969654646</v>
      </c>
      <c r="G89" s="99"/>
    </row>
    <row r="90" s="11" customFormat="1" ht="27" customHeight="1" spans="1:7">
      <c r="A90" s="28"/>
      <c r="B90" s="28" t="s">
        <v>145</v>
      </c>
      <c r="C90" s="30">
        <f>C88+C29+C5+C89</f>
        <v>364866309.9585</v>
      </c>
      <c r="D90" s="30">
        <f>D88+D29+D5+D89</f>
        <v>311253947.210934</v>
      </c>
      <c r="E90" s="30">
        <f>E88+E29+E5+E89</f>
        <v>-53612362.747566</v>
      </c>
      <c r="F90" s="46">
        <f t="shared" si="6"/>
        <v>-5361.2362747566</v>
      </c>
      <c r="G90" s="29"/>
    </row>
    <row r="91" ht="36" customHeight="1"/>
    <row r="92" ht="36" customHeight="1"/>
    <row r="93" ht="36" customHeight="1"/>
    <row r="94" ht="36" customHeight="1"/>
    <row r="95" ht="36" customHeight="1"/>
    <row r="96" ht="36" customHeight="1"/>
    <row r="97" ht="36" customHeight="1"/>
    <row r="98" ht="36" customHeight="1"/>
    <row r="99" ht="36" customHeight="1"/>
    <row r="100" ht="36" customHeight="1"/>
    <row r="101" ht="36" customHeight="1"/>
    <row r="102" ht="36" customHeight="1"/>
    <row r="103" ht="36" customHeight="1"/>
    <row r="104" ht="36" customHeight="1"/>
    <row r="105" ht="36" customHeight="1"/>
    <row r="106" ht="36" customHeight="1"/>
    <row r="107" ht="36" customHeight="1"/>
    <row r="108" ht="36" customHeight="1"/>
    <row r="109" ht="36" customHeight="1"/>
  </sheetData>
  <mergeCells count="9">
    <mergeCell ref="A1:G1"/>
    <mergeCell ref="A2:D2"/>
    <mergeCell ref="A3:A4"/>
    <mergeCell ref="B3:B4"/>
    <mergeCell ref="C3:C4"/>
    <mergeCell ref="D3:D4"/>
    <mergeCell ref="E3:E4"/>
    <mergeCell ref="F3:F4"/>
    <mergeCell ref="G3:G4"/>
  </mergeCells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workbookViewId="0">
      <selection activeCell="D5" sqref="D5"/>
    </sheetView>
  </sheetViews>
  <sheetFormatPr defaultColWidth="9" defaultRowHeight="14"/>
  <cols>
    <col min="1" max="1" width="7.87272727272727" style="2" customWidth="1"/>
    <col min="2" max="2" width="20.6272727272727" style="2" customWidth="1"/>
    <col min="3" max="3" width="14.3727272727273" style="2" customWidth="1"/>
    <col min="4" max="4" width="9.5" style="2" customWidth="1"/>
    <col min="5" max="5" width="13.3727272727273" style="2" customWidth="1"/>
    <col min="6" max="6" width="12" style="2" customWidth="1"/>
    <col min="7" max="7" width="13.7545454545455" style="2" customWidth="1"/>
    <col min="8" max="8" width="16.6272727272727" style="2" customWidth="1"/>
    <col min="9" max="9" width="16.1272727272727" style="2" customWidth="1"/>
    <col min="10" max="10" width="9" style="2"/>
    <col min="11" max="11" width="10.3727272727273" style="2"/>
    <col min="14" max="14" width="10.3727272727273"/>
  </cols>
  <sheetData>
    <row r="1" ht="33" customHeight="1" spans="1:9">
      <c r="A1" s="3" t="s">
        <v>238</v>
      </c>
      <c r="B1" s="3"/>
      <c r="C1" s="3"/>
      <c r="D1" s="3"/>
      <c r="E1" s="3"/>
      <c r="F1" s="3"/>
      <c r="G1" s="3"/>
      <c r="H1" s="3"/>
      <c r="I1" s="3"/>
    </row>
    <row r="2" s="1" customFormat="1" ht="25" customHeight="1" spans="1:11">
      <c r="A2" s="4" t="s">
        <v>2</v>
      </c>
      <c r="B2" s="4" t="s">
        <v>217</v>
      </c>
      <c r="C2" s="4" t="s">
        <v>218</v>
      </c>
      <c r="D2" s="4" t="s">
        <v>219</v>
      </c>
      <c r="E2" s="4" t="s">
        <v>220</v>
      </c>
      <c r="F2" s="5" t="s">
        <v>221</v>
      </c>
      <c r="G2" s="5" t="s">
        <v>222</v>
      </c>
      <c r="H2" s="4" t="s">
        <v>223</v>
      </c>
      <c r="I2" s="4" t="s">
        <v>8</v>
      </c>
      <c r="J2" s="9"/>
      <c r="K2" s="9"/>
    </row>
    <row r="3" s="1" customFormat="1" ht="21" customHeight="1" spans="1:11">
      <c r="A3" s="4"/>
      <c r="B3" s="4"/>
      <c r="C3" s="4"/>
      <c r="D3" s="4"/>
      <c r="E3" s="4" t="s">
        <v>224</v>
      </c>
      <c r="F3" s="4" t="s">
        <v>225</v>
      </c>
      <c r="G3" s="4" t="s">
        <v>226</v>
      </c>
      <c r="H3" s="4" t="s">
        <v>227</v>
      </c>
      <c r="I3" s="4"/>
      <c r="J3" s="9"/>
      <c r="K3" s="9"/>
    </row>
    <row r="4" s="1" customFormat="1" ht="21" customHeight="1" spans="1:11">
      <c r="A4" s="4"/>
      <c r="B4" s="4" t="s">
        <v>228</v>
      </c>
      <c r="C4" s="4"/>
      <c r="D4" s="4"/>
      <c r="E4" s="4"/>
      <c r="F4" s="4"/>
      <c r="G4" s="4"/>
      <c r="H4" s="4"/>
      <c r="I4" s="4"/>
      <c r="J4" s="9"/>
      <c r="K4" s="9"/>
    </row>
    <row r="5" ht="27" customHeight="1" spans="1:9">
      <c r="A5" s="6">
        <v>1</v>
      </c>
      <c r="B5" s="6" t="s">
        <v>239</v>
      </c>
      <c r="C5" s="6" t="s">
        <v>240</v>
      </c>
      <c r="D5" s="6" t="s">
        <v>231</v>
      </c>
      <c r="E5" s="6">
        <f>2249.78+141611+34593.3+7524.93</f>
        <v>185979.01</v>
      </c>
      <c r="F5" s="7">
        <v>7.21</v>
      </c>
      <c r="G5" s="7">
        <v>3.2</v>
      </c>
      <c r="H5" s="6">
        <f t="shared" ref="H5:H7" si="0">E5*(G5-F5)</f>
        <v>-745775.8301</v>
      </c>
      <c r="I5" s="6"/>
    </row>
    <row r="6" ht="27" customHeight="1" spans="1:9">
      <c r="A6" s="6">
        <v>2</v>
      </c>
      <c r="B6" s="6" t="s">
        <v>241</v>
      </c>
      <c r="C6" s="6"/>
      <c r="D6" s="6" t="s">
        <v>242</v>
      </c>
      <c r="E6" s="6">
        <f>1727+1053</f>
        <v>2780</v>
      </c>
      <c r="F6" s="7">
        <v>3.7</v>
      </c>
      <c r="G6" s="7">
        <v>2.9</v>
      </c>
      <c r="H6" s="6">
        <f t="shared" si="0"/>
        <v>-2224</v>
      </c>
      <c r="I6" s="6"/>
    </row>
    <row r="7" ht="27" customHeight="1" spans="1:9">
      <c r="A7" s="6">
        <v>3</v>
      </c>
      <c r="B7" s="6" t="s">
        <v>243</v>
      </c>
      <c r="C7" s="6"/>
      <c r="D7" s="6" t="s">
        <v>231</v>
      </c>
      <c r="E7" s="6">
        <f>475524+892498</f>
        <v>1368022</v>
      </c>
      <c r="F7" s="7">
        <v>2.7</v>
      </c>
      <c r="G7" s="7">
        <v>2.1</v>
      </c>
      <c r="H7" s="6">
        <f t="shared" si="0"/>
        <v>-820813.2</v>
      </c>
      <c r="I7" s="6"/>
    </row>
    <row r="8" customFormat="1" ht="27" customHeight="1" spans="1:11">
      <c r="A8" s="6">
        <v>4</v>
      </c>
      <c r="B8" s="6" t="s">
        <v>235</v>
      </c>
      <c r="C8" s="6"/>
      <c r="D8" s="6" t="s">
        <v>236</v>
      </c>
      <c r="E8" s="6"/>
      <c r="F8" s="7"/>
      <c r="G8" s="7"/>
      <c r="H8" s="6">
        <f>SUM(H5:H7)*0.2</f>
        <v>-313762.60602</v>
      </c>
      <c r="I8" s="6"/>
      <c r="J8" s="2"/>
      <c r="K8" s="2"/>
    </row>
    <row r="9" s="1" customFormat="1" ht="27" customHeight="1" spans="1:14">
      <c r="A9" s="4"/>
      <c r="B9" s="4" t="s">
        <v>145</v>
      </c>
      <c r="C9" s="4"/>
      <c r="D9" s="4"/>
      <c r="E9" s="4"/>
      <c r="F9" s="4"/>
      <c r="G9" s="4"/>
      <c r="H9" s="8">
        <f>SUM(H5:H8)</f>
        <v>-1882575.63612</v>
      </c>
      <c r="I9" s="4"/>
      <c r="J9" s="9"/>
      <c r="K9" s="9">
        <v>818819.61</v>
      </c>
      <c r="N9" s="1">
        <v>8189.6</v>
      </c>
    </row>
    <row r="10" ht="27" customHeight="1" spans="11:14">
      <c r="K10" s="2">
        <v>319104.66</v>
      </c>
      <c r="N10">
        <v>889453.26</v>
      </c>
    </row>
    <row r="11" ht="27" customHeight="1" spans="11:14">
      <c r="K11" s="2">
        <v>59723.64</v>
      </c>
      <c r="N11">
        <v>818819.61</v>
      </c>
    </row>
    <row r="12" ht="27" customHeight="1" spans="11:14">
      <c r="K12" s="2">
        <v>167150.06</v>
      </c>
      <c r="N12">
        <v>121563.68</v>
      </c>
    </row>
    <row r="13" ht="27" customHeight="1" spans="11:14">
      <c r="K13" s="2">
        <v>51311.79</v>
      </c>
      <c r="N13">
        <v>299075.52</v>
      </c>
    </row>
    <row r="14" ht="27" customHeight="1" spans="11:14">
      <c r="K14" s="2">
        <v>30531.18</v>
      </c>
      <c r="N14">
        <v>167150.06</v>
      </c>
    </row>
    <row r="15" ht="27" customHeight="1" spans="11:14">
      <c r="K15" s="2">
        <v>1109268.58</v>
      </c>
      <c r="N15">
        <v>51311.79</v>
      </c>
    </row>
    <row r="16" ht="27" customHeight="1" spans="11:14">
      <c r="K16" s="2">
        <v>626107.02</v>
      </c>
      <c r="N16">
        <v>910701.12</v>
      </c>
    </row>
    <row r="17" ht="27" customHeight="1" spans="11:14">
      <c r="K17" s="2">
        <v>379886.5</v>
      </c>
      <c r="N17">
        <v>1164610.98</v>
      </c>
    </row>
    <row r="18" ht="27" customHeight="1" spans="11:14">
      <c r="K18" s="2">
        <v>81312.6</v>
      </c>
      <c r="N18">
        <v>30531.18</v>
      </c>
    </row>
    <row r="19" ht="27" customHeight="1" spans="11:14">
      <c r="K19" s="2">
        <v>665707</v>
      </c>
      <c r="N19">
        <v>395081.96</v>
      </c>
    </row>
    <row r="20" ht="27" customHeight="1" spans="11:14">
      <c r="K20" s="2">
        <v>142883.6</v>
      </c>
      <c r="N20">
        <v>65050.08</v>
      </c>
    </row>
    <row r="21" ht="27" customHeight="1" spans="11:14">
      <c r="K21" s="2">
        <v>427598.25</v>
      </c>
      <c r="N21">
        <v>19971.21</v>
      </c>
    </row>
    <row r="22" ht="27" customHeight="1" spans="11:14">
      <c r="K22" s="2">
        <v>24429.28</v>
      </c>
      <c r="N22">
        <v>14288.36</v>
      </c>
    </row>
    <row r="23" ht="27" customHeight="1" spans="14:14">
      <c r="N23">
        <v>32758.4</v>
      </c>
    </row>
    <row r="24" ht="27" customHeight="1" spans="11:14">
      <c r="K24" s="2">
        <f>SUM(K9:K23)</f>
        <v>4903833.77</v>
      </c>
      <c r="N24">
        <v>366245.46</v>
      </c>
    </row>
    <row r="25" ht="27" customHeight="1" spans="14:14">
      <c r="N25">
        <v>645833.79</v>
      </c>
    </row>
    <row r="26" ht="27" customHeight="1" spans="14:14">
      <c r="N26">
        <v>450403.49</v>
      </c>
    </row>
    <row r="27" ht="27" customHeight="1"/>
    <row r="28" ht="27" customHeight="1" spans="14:14">
      <c r="N28">
        <f>SUM(N9:N27)</f>
        <v>6451039.55</v>
      </c>
    </row>
    <row r="29" ht="27" customHeight="1"/>
    <row r="30" ht="27" customHeight="1"/>
    <row r="31" ht="27" customHeight="1"/>
    <row r="32" ht="27" customHeight="1"/>
    <row r="33" ht="27" customHeight="1"/>
    <row r="34" ht="27" customHeight="1"/>
    <row r="35" ht="27" customHeight="1"/>
  </sheetData>
  <mergeCells count="6">
    <mergeCell ref="A1:I1"/>
    <mergeCell ref="A2:A3"/>
    <mergeCell ref="B2:B3"/>
    <mergeCell ref="C2:C3"/>
    <mergeCell ref="D2:D3"/>
    <mergeCell ref="I2:I3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K109"/>
  <sheetViews>
    <sheetView workbookViewId="0">
      <pane ySplit="4" topLeftCell="A87" activePane="bottomLeft" state="frozen"/>
      <selection/>
      <selection pane="bottomLeft" activeCell="D5" sqref="D5"/>
    </sheetView>
  </sheetViews>
  <sheetFormatPr defaultColWidth="9" defaultRowHeight="14"/>
  <cols>
    <col min="1" max="1" width="6.75454545454545" style="12" customWidth="1"/>
    <col min="2" max="2" width="22.7545454545455" customWidth="1"/>
    <col min="3" max="3" width="16.2545454545455" customWidth="1"/>
    <col min="4" max="4" width="17.8727272727273" style="14" customWidth="1"/>
    <col min="5" max="5" width="17.6272727272727" customWidth="1"/>
    <col min="6" max="6" width="17.5" style="15" customWidth="1"/>
    <col min="7" max="7" width="43.6272727272727" style="17" customWidth="1"/>
    <col min="8" max="8" width="17.1272727272727" customWidth="1"/>
    <col min="9" max="11" width="14.1272727272727"/>
    <col min="12" max="12" width="10.3727272727273"/>
  </cols>
  <sheetData>
    <row r="1" ht="25.5" spans="1:7">
      <c r="A1" s="18" t="s">
        <v>0</v>
      </c>
      <c r="B1" s="18"/>
      <c r="C1" s="18"/>
      <c r="D1" s="20"/>
      <c r="E1" s="18"/>
      <c r="F1" s="21"/>
      <c r="G1" s="19"/>
    </row>
    <row r="2" spans="1:7">
      <c r="A2" s="22" t="s">
        <v>1</v>
      </c>
      <c r="B2" s="22"/>
      <c r="C2" s="22"/>
      <c r="D2" s="22"/>
      <c r="E2" s="22"/>
      <c r="F2" s="23"/>
      <c r="G2" s="22"/>
    </row>
    <row r="3" spans="1:7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7" t="s">
        <v>7</v>
      </c>
      <c r="G3" s="25" t="s">
        <v>8</v>
      </c>
    </row>
    <row r="4" spans="1:7">
      <c r="A4" s="25"/>
      <c r="B4" s="25"/>
      <c r="C4" s="25"/>
      <c r="D4" s="25"/>
      <c r="E4" s="25"/>
      <c r="F4" s="27"/>
      <c r="G4" s="25"/>
    </row>
    <row r="5" s="1" customFormat="1" ht="29" customHeight="1" spans="1:7">
      <c r="A5" s="41" t="s">
        <v>9</v>
      </c>
      <c r="B5" s="42" t="s">
        <v>10</v>
      </c>
      <c r="C5" s="28">
        <f>C6+C9+C10+C27+C28</f>
        <v>300271531</v>
      </c>
      <c r="D5" s="28">
        <f>D6+D9+D10+D27+D28</f>
        <v>279003587.34212</v>
      </c>
      <c r="E5" s="43">
        <f t="shared" ref="E5:E10" si="0">D5-C5</f>
        <v>-21267943.65788</v>
      </c>
      <c r="F5" s="31">
        <f t="shared" ref="F5:F68" si="1">E5/10000</f>
        <v>-2126.794365788</v>
      </c>
      <c r="G5" s="32" t="s">
        <v>146</v>
      </c>
    </row>
    <row r="6" s="1" customFormat="1" ht="111" customHeight="1" collapsed="1" spans="1:11">
      <c r="A6" s="41" t="s">
        <v>12</v>
      </c>
      <c r="B6" s="45" t="s">
        <v>13</v>
      </c>
      <c r="C6" s="42">
        <f>SUM(C7:C8)</f>
        <v>10029515</v>
      </c>
      <c r="D6" s="46">
        <f>SUM(D7:D8)</f>
        <v>9770169.96212</v>
      </c>
      <c r="E6" s="31">
        <f t="shared" si="0"/>
        <v>-259345.037880002</v>
      </c>
      <c r="F6" s="31">
        <f t="shared" si="1"/>
        <v>-25.9345037880002</v>
      </c>
      <c r="G6" s="34" t="s">
        <v>147</v>
      </c>
      <c r="J6" s="1">
        <f>D5+D80+D87</f>
        <v>284980716.87212</v>
      </c>
      <c r="K6" s="1">
        <f>J6-D8</f>
        <v>283845335.53</v>
      </c>
    </row>
    <row r="7" s="1" customFormat="1" ht="48" hidden="1" customHeight="1" outlineLevel="1" spans="1:10">
      <c r="A7" s="41">
        <v>1.1</v>
      </c>
      <c r="B7" s="45" t="s">
        <v>148</v>
      </c>
      <c r="C7" s="42">
        <v>9102082.7</v>
      </c>
      <c r="D7" s="28">
        <v>8634788.62</v>
      </c>
      <c r="E7" s="43">
        <f t="shared" si="0"/>
        <v>-467294.08</v>
      </c>
      <c r="F7" s="31">
        <f t="shared" si="1"/>
        <v>-46.729408</v>
      </c>
      <c r="G7" s="25" t="s">
        <v>149</v>
      </c>
      <c r="J7" s="1">
        <f>227*229</f>
        <v>51983</v>
      </c>
    </row>
    <row r="8" s="1" customFormat="1" ht="48" hidden="1" customHeight="1" outlineLevel="1" spans="1:10">
      <c r="A8" s="41">
        <v>1.2</v>
      </c>
      <c r="B8" s="45" t="s">
        <v>17</v>
      </c>
      <c r="C8" s="42">
        <v>927432.3</v>
      </c>
      <c r="D8" s="30">
        <f>(D87+D7+D9+D10+D27+D28+D79)*0.4%</f>
        <v>1135381.34212</v>
      </c>
      <c r="E8" s="43">
        <f t="shared" si="0"/>
        <v>207949.04212</v>
      </c>
      <c r="F8" s="31">
        <f t="shared" si="1"/>
        <v>20.794904212</v>
      </c>
      <c r="G8" s="25" t="s">
        <v>18</v>
      </c>
      <c r="J8" s="1">
        <f>D7+D9+D10+D27+D28+D87+D79</f>
        <v>283845335.53</v>
      </c>
    </row>
    <row r="9" s="1" customFormat="1" ht="50" customHeight="1" spans="1:8">
      <c r="A9" s="41" t="s">
        <v>19</v>
      </c>
      <c r="B9" s="45" t="s">
        <v>20</v>
      </c>
      <c r="C9" s="42">
        <v>16808890</v>
      </c>
      <c r="D9" s="28">
        <v>18032546.03</v>
      </c>
      <c r="E9" s="43">
        <f t="shared" si="0"/>
        <v>1223656.03</v>
      </c>
      <c r="F9" s="31">
        <f t="shared" si="1"/>
        <v>122.365603</v>
      </c>
      <c r="G9" s="25" t="s">
        <v>150</v>
      </c>
      <c r="H9" s="35"/>
    </row>
    <row r="10" s="1" customFormat="1" ht="75" customHeight="1" spans="1:8">
      <c r="A10" s="41" t="s">
        <v>23</v>
      </c>
      <c r="B10" s="45" t="s">
        <v>24</v>
      </c>
      <c r="C10" s="42">
        <v>171318408</v>
      </c>
      <c r="D10" s="30">
        <f>D11+D18</f>
        <v>162224026.01</v>
      </c>
      <c r="E10" s="43">
        <f t="shared" si="0"/>
        <v>-9094381.99000001</v>
      </c>
      <c r="F10" s="31">
        <f t="shared" si="1"/>
        <v>-909.438199000001</v>
      </c>
      <c r="G10" s="25" t="s">
        <v>151</v>
      </c>
      <c r="H10" s="35"/>
    </row>
    <row r="11" s="1" customFormat="1" ht="48" customHeight="1" outlineLevel="1" spans="1:8">
      <c r="A11" s="41">
        <v>3.1</v>
      </c>
      <c r="B11" s="45" t="s">
        <v>27</v>
      </c>
      <c r="C11" s="42"/>
      <c r="D11" s="28">
        <f>SUM(D12:D17)</f>
        <v>50088442.08</v>
      </c>
      <c r="E11" s="28"/>
      <c r="F11" s="31">
        <f t="shared" si="1"/>
        <v>0</v>
      </c>
      <c r="G11" s="28"/>
      <c r="H11" s="35"/>
    </row>
    <row r="12" ht="48" customHeight="1" outlineLevel="1" spans="1:9">
      <c r="A12" s="47">
        <v>3.11</v>
      </c>
      <c r="B12" s="48" t="s">
        <v>28</v>
      </c>
      <c r="C12" s="49"/>
      <c r="D12" s="25">
        <v>22299436.36</v>
      </c>
      <c r="E12" s="25"/>
      <c r="F12" s="31">
        <f t="shared" si="1"/>
        <v>0</v>
      </c>
      <c r="G12" s="25"/>
      <c r="H12" s="36"/>
      <c r="I12">
        <f>590/1.03</f>
        <v>572.815533980582</v>
      </c>
    </row>
    <row r="13" ht="48" customHeight="1" outlineLevel="1" spans="1:11">
      <c r="A13" s="47">
        <v>3.12</v>
      </c>
      <c r="B13" s="48" t="s">
        <v>29</v>
      </c>
      <c r="C13" s="49"/>
      <c r="D13" s="25">
        <v>14672915.02</v>
      </c>
      <c r="E13" s="25"/>
      <c r="F13" s="31">
        <f t="shared" si="1"/>
        <v>0</v>
      </c>
      <c r="G13" s="25"/>
      <c r="H13" s="36"/>
      <c r="J13">
        <v>350000000</v>
      </c>
      <c r="K13">
        <f>J13*0.45%</f>
        <v>1575000</v>
      </c>
    </row>
    <row r="14" ht="48" customHeight="1" outlineLevel="1" spans="1:8">
      <c r="A14" s="47">
        <v>3.13</v>
      </c>
      <c r="B14" s="48" t="s">
        <v>30</v>
      </c>
      <c r="C14" s="49"/>
      <c r="D14" s="25">
        <v>1040870.68</v>
      </c>
      <c r="E14" s="25"/>
      <c r="F14" s="31">
        <f t="shared" si="1"/>
        <v>0</v>
      </c>
      <c r="G14" s="25"/>
      <c r="H14" s="36"/>
    </row>
    <row r="15" ht="48" customHeight="1" outlineLevel="1" spans="1:8">
      <c r="A15" s="47">
        <v>3.14</v>
      </c>
      <c r="B15" s="48" t="s">
        <v>31</v>
      </c>
      <c r="C15" s="49"/>
      <c r="D15" s="25">
        <v>945277.34</v>
      </c>
      <c r="E15" s="25"/>
      <c r="F15" s="31">
        <f t="shared" si="1"/>
        <v>0</v>
      </c>
      <c r="G15" s="25"/>
      <c r="H15" s="36"/>
    </row>
    <row r="16" ht="48" customHeight="1" outlineLevel="1" spans="1:8">
      <c r="A16" s="47">
        <v>3.15</v>
      </c>
      <c r="B16" s="48" t="s">
        <v>32</v>
      </c>
      <c r="C16" s="49"/>
      <c r="D16" s="25">
        <v>170224.47</v>
      </c>
      <c r="E16" s="25"/>
      <c r="F16" s="31">
        <f t="shared" si="1"/>
        <v>0</v>
      </c>
      <c r="G16" s="25"/>
      <c r="H16" s="36"/>
    </row>
    <row r="17" ht="48" customHeight="1" outlineLevel="1" spans="1:8">
      <c r="A17" s="47">
        <v>3.16</v>
      </c>
      <c r="B17" s="48" t="s">
        <v>33</v>
      </c>
      <c r="C17" s="49"/>
      <c r="D17" s="25">
        <v>10959718.21</v>
      </c>
      <c r="E17" s="25"/>
      <c r="F17" s="31">
        <f t="shared" si="1"/>
        <v>0</v>
      </c>
      <c r="G17" s="25"/>
      <c r="H17" s="36"/>
    </row>
    <row r="18" s="1" customFormat="1" ht="48" customHeight="1" outlineLevel="1" spans="1:8">
      <c r="A18" s="41">
        <v>3.2</v>
      </c>
      <c r="B18" s="45" t="s">
        <v>34</v>
      </c>
      <c r="C18" s="42"/>
      <c r="D18" s="28">
        <f>SUM(D19:D26)</f>
        <v>112135583.93</v>
      </c>
      <c r="E18" s="28"/>
      <c r="F18" s="31">
        <f t="shared" si="1"/>
        <v>0</v>
      </c>
      <c r="G18" s="28"/>
      <c r="H18" s="35"/>
    </row>
    <row r="19" ht="48" customHeight="1" outlineLevel="1" spans="1:8">
      <c r="A19" s="47">
        <v>3.21</v>
      </c>
      <c r="B19" s="48" t="s">
        <v>35</v>
      </c>
      <c r="C19" s="49"/>
      <c r="D19" s="25">
        <v>36240508.69</v>
      </c>
      <c r="E19" s="25"/>
      <c r="F19" s="31">
        <f t="shared" si="1"/>
        <v>0</v>
      </c>
      <c r="G19" s="25"/>
      <c r="H19" s="36"/>
    </row>
    <row r="20" ht="48" customHeight="1" outlineLevel="1" spans="1:8">
      <c r="A20" s="47">
        <v>3.22</v>
      </c>
      <c r="B20" s="48" t="s">
        <v>36</v>
      </c>
      <c r="C20" s="49"/>
      <c r="D20" s="25">
        <v>312610.39</v>
      </c>
      <c r="E20" s="25"/>
      <c r="F20" s="31">
        <f t="shared" si="1"/>
        <v>0</v>
      </c>
      <c r="G20" s="25"/>
      <c r="H20" s="36"/>
    </row>
    <row r="21" ht="48" customHeight="1" outlineLevel="1" spans="1:8">
      <c r="A21" s="47">
        <v>3.23</v>
      </c>
      <c r="B21" s="48" t="s">
        <v>37</v>
      </c>
      <c r="C21" s="49"/>
      <c r="D21" s="25">
        <v>45509555.07</v>
      </c>
      <c r="E21" s="25"/>
      <c r="F21" s="31">
        <f t="shared" si="1"/>
        <v>0</v>
      </c>
      <c r="G21" s="25"/>
      <c r="H21" s="36"/>
    </row>
    <row r="22" ht="48" customHeight="1" outlineLevel="1" spans="1:8">
      <c r="A22" s="47">
        <v>3.24</v>
      </c>
      <c r="B22" s="48" t="s">
        <v>38</v>
      </c>
      <c r="C22" s="49"/>
      <c r="D22" s="25">
        <v>695777.75</v>
      </c>
      <c r="E22" s="25"/>
      <c r="F22" s="31">
        <f t="shared" si="1"/>
        <v>0</v>
      </c>
      <c r="G22" s="25"/>
      <c r="H22" s="36"/>
    </row>
    <row r="23" ht="48" customHeight="1" outlineLevel="1" spans="1:8">
      <c r="A23" s="47">
        <v>3.25</v>
      </c>
      <c r="B23" s="48" t="s">
        <v>39</v>
      </c>
      <c r="C23" s="49"/>
      <c r="D23" s="25">
        <v>8279935.38</v>
      </c>
      <c r="E23" s="25"/>
      <c r="F23" s="31">
        <f t="shared" si="1"/>
        <v>0</v>
      </c>
      <c r="G23" s="25"/>
      <c r="H23" s="36"/>
    </row>
    <row r="24" ht="48" customHeight="1" outlineLevel="1" spans="1:8">
      <c r="A24" s="47">
        <v>3.26</v>
      </c>
      <c r="B24" s="48" t="s">
        <v>40</v>
      </c>
      <c r="C24" s="49"/>
      <c r="D24" s="25">
        <v>18727886.09</v>
      </c>
      <c r="E24" s="25"/>
      <c r="F24" s="31">
        <f t="shared" si="1"/>
        <v>0</v>
      </c>
      <c r="G24" s="25"/>
      <c r="H24" s="36"/>
    </row>
    <row r="25" ht="48" customHeight="1" outlineLevel="1" spans="1:8">
      <c r="A25" s="47">
        <v>3.27</v>
      </c>
      <c r="B25" s="48" t="s">
        <v>41</v>
      </c>
      <c r="C25" s="49"/>
      <c r="D25" s="25">
        <v>1910133.05</v>
      </c>
      <c r="E25" s="25"/>
      <c r="F25" s="31">
        <f t="shared" si="1"/>
        <v>0</v>
      </c>
      <c r="G25" s="25"/>
      <c r="H25" s="36"/>
    </row>
    <row r="26" ht="48" customHeight="1" outlineLevel="1" spans="1:8">
      <c r="A26" s="47">
        <v>3.28</v>
      </c>
      <c r="B26" s="48" t="s">
        <v>42</v>
      </c>
      <c r="C26" s="49"/>
      <c r="D26" s="25">
        <v>459177.51</v>
      </c>
      <c r="E26" s="25"/>
      <c r="F26" s="31">
        <f t="shared" si="1"/>
        <v>0</v>
      </c>
      <c r="G26" s="25"/>
      <c r="H26" s="36"/>
    </row>
    <row r="27" s="1" customFormat="1" ht="55" customHeight="1" spans="1:8">
      <c r="A27" s="41">
        <v>4</v>
      </c>
      <c r="B27" s="45" t="s">
        <v>43</v>
      </c>
      <c r="C27" s="42">
        <v>48121421</v>
      </c>
      <c r="D27" s="28">
        <v>31911949.01</v>
      </c>
      <c r="E27" s="43">
        <f t="shared" ref="E27:E88" si="2">D27-C27</f>
        <v>-16209471.99</v>
      </c>
      <c r="F27" s="31">
        <f t="shared" si="1"/>
        <v>-1620.947199</v>
      </c>
      <c r="G27" s="25" t="s">
        <v>152</v>
      </c>
      <c r="H27" s="35"/>
    </row>
    <row r="28" s="1" customFormat="1" ht="48" customHeight="1" spans="1:8">
      <c r="A28" s="41">
        <v>5</v>
      </c>
      <c r="B28" s="45" t="s">
        <v>45</v>
      </c>
      <c r="C28" s="42">
        <v>53993297</v>
      </c>
      <c r="D28" s="28">
        <v>57064896.33</v>
      </c>
      <c r="E28" s="43">
        <f t="shared" si="2"/>
        <v>3071599.33</v>
      </c>
      <c r="F28" s="31">
        <f t="shared" si="1"/>
        <v>307.159933</v>
      </c>
      <c r="G28" s="25" t="s">
        <v>153</v>
      </c>
      <c r="H28" s="35"/>
    </row>
    <row r="29" ht="48" customHeight="1" spans="1:11">
      <c r="A29" s="41" t="s">
        <v>48</v>
      </c>
      <c r="B29" s="45" t="s">
        <v>49</v>
      </c>
      <c r="C29" s="28">
        <f>C30+C37+C44+C50+C56+C62+C69+C79+C81</f>
        <v>41269168.77</v>
      </c>
      <c r="D29" s="28">
        <f>D30+D37+D44+D50+D56+D62+D69+D79+D81</f>
        <v>34309070.68</v>
      </c>
      <c r="E29" s="28">
        <f>E30+E37+E44+E50+E56+E62+E69+E79+E81</f>
        <v>-6960098.09</v>
      </c>
      <c r="F29" s="31">
        <f t="shared" si="1"/>
        <v>-696.009809</v>
      </c>
      <c r="G29" s="25"/>
      <c r="I29">
        <f>64348.24</f>
        <v>64348.24</v>
      </c>
      <c r="J29">
        <f>336000/I29</f>
        <v>5.2215880341094</v>
      </c>
      <c r="K29" s="36">
        <f>D29-D79</f>
        <v>31730198.6</v>
      </c>
    </row>
    <row r="30" ht="38" customHeight="1" spans="1:7">
      <c r="A30" s="4">
        <v>1</v>
      </c>
      <c r="B30" s="43" t="s">
        <v>50</v>
      </c>
      <c r="C30" s="43">
        <f>SUM(C31:C36)</f>
        <v>4571724.26</v>
      </c>
      <c r="D30" s="101">
        <f>SUM(D31:D36)</f>
        <v>3400580.02</v>
      </c>
      <c r="E30" s="43">
        <f t="shared" si="2"/>
        <v>-1171144.24</v>
      </c>
      <c r="F30" s="31">
        <f t="shared" si="1"/>
        <v>-117.114424</v>
      </c>
      <c r="G30" s="51"/>
    </row>
    <row r="31" ht="38" customHeight="1" spans="1:11">
      <c r="A31" s="6">
        <v>1.1</v>
      </c>
      <c r="B31" s="52" t="s">
        <v>51</v>
      </c>
      <c r="C31" s="6">
        <v>800792.51</v>
      </c>
      <c r="D31" s="102">
        <v>868381.81</v>
      </c>
      <c r="E31" s="52">
        <f t="shared" si="2"/>
        <v>67589.3</v>
      </c>
      <c r="F31" s="33">
        <f t="shared" si="1"/>
        <v>6.75893</v>
      </c>
      <c r="G31" s="54" t="s">
        <v>52</v>
      </c>
      <c r="K31">
        <f>F31+F38+F45+F51+F57+F63+F75+F76+F77+F78+F85+F86</f>
        <v>-38.71298</v>
      </c>
    </row>
    <row r="32" ht="38" customHeight="1" spans="1:11">
      <c r="A32" s="6">
        <v>1.2</v>
      </c>
      <c r="B32" s="52" t="s">
        <v>53</v>
      </c>
      <c r="C32" s="6">
        <v>3664352.89</v>
      </c>
      <c r="D32" s="102">
        <v>2452146.32</v>
      </c>
      <c r="E32" s="52">
        <f t="shared" si="2"/>
        <v>-1212206.57</v>
      </c>
      <c r="F32" s="33">
        <f t="shared" si="1"/>
        <v>-121.220657</v>
      </c>
      <c r="G32" s="54" t="s">
        <v>54</v>
      </c>
      <c r="K32" t="s">
        <v>55</v>
      </c>
    </row>
    <row r="33" ht="38" customHeight="1" spans="1:7">
      <c r="A33" s="6">
        <v>1.3</v>
      </c>
      <c r="B33" s="52" t="s">
        <v>56</v>
      </c>
      <c r="C33" s="6">
        <v>58020.71</v>
      </c>
      <c r="D33" s="102">
        <v>35089.54</v>
      </c>
      <c r="E33" s="52">
        <f t="shared" si="2"/>
        <v>-22931.17</v>
      </c>
      <c r="F33" s="33">
        <f t="shared" si="1"/>
        <v>-2.293117</v>
      </c>
      <c r="G33" s="54" t="s">
        <v>57</v>
      </c>
    </row>
    <row r="34" ht="38" customHeight="1" spans="1:10">
      <c r="A34" s="6">
        <v>1.4</v>
      </c>
      <c r="B34" s="52" t="s">
        <v>58</v>
      </c>
      <c r="C34" s="6">
        <v>42259.41</v>
      </c>
      <c r="D34" s="102">
        <v>41990.42</v>
      </c>
      <c r="E34" s="52">
        <f t="shared" si="2"/>
        <v>-268.990000000005</v>
      </c>
      <c r="F34" s="33">
        <f t="shared" si="1"/>
        <v>-0.0268990000000005</v>
      </c>
      <c r="G34" s="52"/>
      <c r="I34" t="s">
        <v>59</v>
      </c>
      <c r="J34" t="s">
        <v>59</v>
      </c>
    </row>
    <row r="35" ht="38" customHeight="1" spans="1:10">
      <c r="A35" s="6">
        <v>1.5</v>
      </c>
      <c r="B35" s="52" t="s">
        <v>60</v>
      </c>
      <c r="C35" s="6">
        <v>3713.85</v>
      </c>
      <c r="D35" s="102">
        <v>1684.46</v>
      </c>
      <c r="E35" s="52">
        <f t="shared" si="2"/>
        <v>-2029.39</v>
      </c>
      <c r="F35" s="33">
        <f t="shared" si="1"/>
        <v>-0.202939</v>
      </c>
      <c r="G35" s="54" t="s">
        <v>61</v>
      </c>
      <c r="I35">
        <f>80931.66*12</f>
        <v>971179.92</v>
      </c>
      <c r="J35">
        <f>60003.31+60003.31+25115.31+25115.31+35888.31+38479.31+39286.31+35485.31+32917.31+57160.31+16248.45+16248.45</f>
        <v>441951</v>
      </c>
    </row>
    <row r="36" ht="38" customHeight="1" spans="1:10">
      <c r="A36" s="6">
        <v>1.6</v>
      </c>
      <c r="B36" s="52" t="s">
        <v>62</v>
      </c>
      <c r="C36" s="6">
        <v>2584.89</v>
      </c>
      <c r="D36" s="102">
        <v>1287.47</v>
      </c>
      <c r="E36" s="52">
        <f t="shared" si="2"/>
        <v>-1297.42</v>
      </c>
      <c r="F36" s="33">
        <f t="shared" si="1"/>
        <v>-0.129742</v>
      </c>
      <c r="G36" s="54" t="s">
        <v>63</v>
      </c>
      <c r="J36">
        <f>I35-J35</f>
        <v>529228.92</v>
      </c>
    </row>
    <row r="37" ht="38" customHeight="1" spans="1:7">
      <c r="A37" s="4">
        <v>2</v>
      </c>
      <c r="B37" s="43" t="s">
        <v>64</v>
      </c>
      <c r="C37" s="43">
        <f>SUM(C38:C43)</f>
        <v>1048364.5</v>
      </c>
      <c r="D37" s="101">
        <f>SUM(D38:D43)</f>
        <v>1080042.5</v>
      </c>
      <c r="E37" s="43">
        <f t="shared" si="2"/>
        <v>31678.0000000002</v>
      </c>
      <c r="F37" s="31">
        <f t="shared" si="1"/>
        <v>3.16780000000002</v>
      </c>
      <c r="G37" s="52"/>
    </row>
    <row r="38" ht="38" customHeight="1" spans="1:7">
      <c r="A38" s="6">
        <v>2.1</v>
      </c>
      <c r="B38" s="52" t="s">
        <v>65</v>
      </c>
      <c r="C38" s="52">
        <v>764789.32</v>
      </c>
      <c r="D38" s="103">
        <v>820200.93</v>
      </c>
      <c r="E38" s="52">
        <f t="shared" si="2"/>
        <v>55411.6100000001</v>
      </c>
      <c r="F38" s="33">
        <f t="shared" si="1"/>
        <v>5.54116100000001</v>
      </c>
      <c r="G38" s="51" t="s">
        <v>66</v>
      </c>
    </row>
    <row r="39" ht="38" customHeight="1" spans="1:7">
      <c r="A39" s="6">
        <v>2.2</v>
      </c>
      <c r="B39" s="52" t="s">
        <v>67</v>
      </c>
      <c r="C39" s="52">
        <v>213848.83</v>
      </c>
      <c r="D39" s="102">
        <v>205039.25</v>
      </c>
      <c r="E39" s="52">
        <f t="shared" si="2"/>
        <v>-8809.57999999999</v>
      </c>
      <c r="F39" s="33">
        <f t="shared" si="1"/>
        <v>-0.880957999999999</v>
      </c>
      <c r="G39" s="51" t="s">
        <v>68</v>
      </c>
    </row>
    <row r="40" ht="38" customHeight="1" spans="1:7">
      <c r="A40" s="6">
        <v>2.3</v>
      </c>
      <c r="B40" s="52" t="s">
        <v>69</v>
      </c>
      <c r="C40" s="52">
        <v>48424.01</v>
      </c>
      <c r="D40" s="102">
        <v>31399.19</v>
      </c>
      <c r="E40" s="52">
        <f t="shared" si="2"/>
        <v>-17024.82</v>
      </c>
      <c r="F40" s="33">
        <f t="shared" si="1"/>
        <v>-1.702482</v>
      </c>
      <c r="G40" s="54" t="s">
        <v>70</v>
      </c>
    </row>
    <row r="41" ht="38" customHeight="1" spans="1:7">
      <c r="A41" s="6">
        <v>2.4</v>
      </c>
      <c r="B41" s="52" t="s">
        <v>71</v>
      </c>
      <c r="C41" s="52">
        <v>5511.29</v>
      </c>
      <c r="D41" s="102">
        <v>8930.11</v>
      </c>
      <c r="E41" s="52">
        <f t="shared" si="2"/>
        <v>3418.82</v>
      </c>
      <c r="F41" s="33">
        <f t="shared" si="1"/>
        <v>0.341882</v>
      </c>
      <c r="G41" s="54" t="s">
        <v>72</v>
      </c>
    </row>
    <row r="42" ht="38" customHeight="1" spans="1:7">
      <c r="A42" s="6">
        <v>2.5</v>
      </c>
      <c r="B42" s="52" t="s">
        <v>73</v>
      </c>
      <c r="C42" s="52">
        <v>14067.78</v>
      </c>
      <c r="D42" s="102">
        <v>13615.25</v>
      </c>
      <c r="E42" s="52">
        <f t="shared" si="2"/>
        <v>-452.530000000001</v>
      </c>
      <c r="F42" s="33">
        <f t="shared" si="1"/>
        <v>-0.0452530000000001</v>
      </c>
      <c r="G42" s="54" t="s">
        <v>74</v>
      </c>
    </row>
    <row r="43" ht="38" customHeight="1" spans="1:7">
      <c r="A43" s="6">
        <v>2.6</v>
      </c>
      <c r="B43" s="52" t="s">
        <v>75</v>
      </c>
      <c r="C43" s="52">
        <v>1723.27</v>
      </c>
      <c r="D43" s="102">
        <v>857.77</v>
      </c>
      <c r="E43" s="52">
        <f t="shared" si="2"/>
        <v>-865.5</v>
      </c>
      <c r="F43" s="33">
        <f t="shared" si="1"/>
        <v>-0.08655</v>
      </c>
      <c r="G43" s="54"/>
    </row>
    <row r="44" ht="38" customHeight="1" spans="1:7">
      <c r="A44" s="4">
        <v>3</v>
      </c>
      <c r="B44" s="43" t="s">
        <v>76</v>
      </c>
      <c r="C44" s="43">
        <f>SUM(C45:C49)</f>
        <v>132922.97</v>
      </c>
      <c r="D44" s="101">
        <f>SUM(D45:D49)</f>
        <v>99232.17</v>
      </c>
      <c r="E44" s="43">
        <f t="shared" si="2"/>
        <v>-33690.8</v>
      </c>
      <c r="F44" s="31">
        <f t="shared" si="1"/>
        <v>-3.36908</v>
      </c>
      <c r="G44" s="43"/>
    </row>
    <row r="45" ht="48" customHeight="1" spans="1:7">
      <c r="A45" s="6">
        <v>3.1</v>
      </c>
      <c r="B45" s="52" t="s">
        <v>77</v>
      </c>
      <c r="C45" s="52">
        <v>83444.35</v>
      </c>
      <c r="D45" s="104">
        <v>60278.43</v>
      </c>
      <c r="E45" s="52">
        <f t="shared" si="2"/>
        <v>-23165.92</v>
      </c>
      <c r="F45" s="33">
        <f t="shared" si="1"/>
        <v>-2.316592</v>
      </c>
      <c r="G45" s="54" t="s">
        <v>78</v>
      </c>
    </row>
    <row r="46" ht="38" customHeight="1" spans="1:7">
      <c r="A46" s="6">
        <v>3.2</v>
      </c>
      <c r="B46" s="52" t="s">
        <v>79</v>
      </c>
      <c r="C46" s="52">
        <v>19036.44</v>
      </c>
      <c r="D46" s="104">
        <v>21850.39</v>
      </c>
      <c r="E46" s="52">
        <f t="shared" si="2"/>
        <v>2813.95</v>
      </c>
      <c r="F46" s="33">
        <f t="shared" si="1"/>
        <v>0.281395</v>
      </c>
      <c r="G46" s="54" t="s">
        <v>80</v>
      </c>
    </row>
    <row r="47" ht="38" customHeight="1" spans="1:7">
      <c r="A47" s="6">
        <v>3.3</v>
      </c>
      <c r="B47" s="52" t="s">
        <v>81</v>
      </c>
      <c r="C47" s="52">
        <v>3142.97</v>
      </c>
      <c r="D47" s="104">
        <v>2907.51</v>
      </c>
      <c r="E47" s="52">
        <f t="shared" si="2"/>
        <v>-235.46</v>
      </c>
      <c r="F47" s="33">
        <f t="shared" si="1"/>
        <v>-0.023546</v>
      </c>
      <c r="G47" s="52"/>
    </row>
    <row r="48" ht="38" customHeight="1" spans="1:7">
      <c r="A48" s="6">
        <v>3.4</v>
      </c>
      <c r="B48" s="52" t="s">
        <v>82</v>
      </c>
      <c r="C48" s="52">
        <v>26868.4</v>
      </c>
      <c r="D48" s="104">
        <v>13981.39</v>
      </c>
      <c r="E48" s="52">
        <f t="shared" si="2"/>
        <v>-12887.01</v>
      </c>
      <c r="F48" s="33">
        <f t="shared" si="1"/>
        <v>-1.288701</v>
      </c>
      <c r="G48" s="54" t="s">
        <v>83</v>
      </c>
    </row>
    <row r="49" ht="38" customHeight="1" spans="1:7">
      <c r="A49" s="6">
        <v>3.5</v>
      </c>
      <c r="B49" s="52" t="s">
        <v>84</v>
      </c>
      <c r="C49" s="52">
        <v>430.81</v>
      </c>
      <c r="D49" s="104">
        <v>214.45</v>
      </c>
      <c r="E49" s="52">
        <f t="shared" si="2"/>
        <v>-216.36</v>
      </c>
      <c r="F49" s="33">
        <f t="shared" si="1"/>
        <v>-0.021636</v>
      </c>
      <c r="G49" s="52"/>
    </row>
    <row r="50" ht="38" customHeight="1" spans="1:7">
      <c r="A50" s="6">
        <v>4</v>
      </c>
      <c r="B50" s="43" t="s">
        <v>85</v>
      </c>
      <c r="C50" s="43">
        <f>SUM(C51:C55)</f>
        <v>103817.66</v>
      </c>
      <c r="D50" s="101">
        <f>SUM(D51:D55)</f>
        <v>72481.06</v>
      </c>
      <c r="E50" s="43">
        <f t="shared" si="2"/>
        <v>-31336.6</v>
      </c>
      <c r="F50" s="31">
        <f t="shared" si="1"/>
        <v>-3.13366</v>
      </c>
      <c r="G50" s="52"/>
    </row>
    <row r="51" ht="38" customHeight="1" spans="1:7">
      <c r="A51" s="6">
        <v>4.1</v>
      </c>
      <c r="B51" s="52" t="s">
        <v>86</v>
      </c>
      <c r="C51" s="52">
        <v>68858.94</v>
      </c>
      <c r="D51" s="104">
        <v>40212.56</v>
      </c>
      <c r="E51" s="52">
        <f t="shared" si="2"/>
        <v>-28646.38</v>
      </c>
      <c r="F51" s="33">
        <f t="shared" si="1"/>
        <v>-2.864638</v>
      </c>
      <c r="G51" s="51" t="s">
        <v>87</v>
      </c>
    </row>
    <row r="52" ht="38" customHeight="1" spans="1:7">
      <c r="A52" s="6">
        <v>4.2</v>
      </c>
      <c r="B52" s="52" t="s">
        <v>88</v>
      </c>
      <c r="C52" s="52">
        <v>13546.41</v>
      </c>
      <c r="D52" s="104">
        <v>15457.14</v>
      </c>
      <c r="E52" s="52">
        <f t="shared" si="2"/>
        <v>1910.73</v>
      </c>
      <c r="F52" s="33">
        <f t="shared" si="1"/>
        <v>0.191073</v>
      </c>
      <c r="G52" s="54" t="s">
        <v>89</v>
      </c>
    </row>
    <row r="53" ht="38" customHeight="1" spans="1:7">
      <c r="A53" s="6">
        <v>4.3</v>
      </c>
      <c r="B53" s="52" t="s">
        <v>90</v>
      </c>
      <c r="C53" s="52">
        <v>3142.97</v>
      </c>
      <c r="D53" s="104">
        <v>2907.51</v>
      </c>
      <c r="E53" s="52">
        <f t="shared" si="2"/>
        <v>-235.46</v>
      </c>
      <c r="F53" s="33">
        <f t="shared" si="1"/>
        <v>-0.023546</v>
      </c>
      <c r="G53" s="52"/>
    </row>
    <row r="54" ht="38" customHeight="1" spans="1:7">
      <c r="A54" s="6">
        <v>4.4</v>
      </c>
      <c r="B54" s="52" t="s">
        <v>91</v>
      </c>
      <c r="C54" s="52">
        <v>17838.53</v>
      </c>
      <c r="D54" s="104">
        <v>13689.4</v>
      </c>
      <c r="E54" s="52">
        <f t="shared" si="2"/>
        <v>-4149.13</v>
      </c>
      <c r="F54" s="33">
        <f t="shared" si="1"/>
        <v>-0.414913</v>
      </c>
      <c r="G54" s="54" t="s">
        <v>92</v>
      </c>
    </row>
    <row r="55" ht="36" customHeight="1" spans="1:7">
      <c r="A55" s="6">
        <v>4.5</v>
      </c>
      <c r="B55" s="52" t="s">
        <v>93</v>
      </c>
      <c r="C55" s="52">
        <v>430.81</v>
      </c>
      <c r="D55" s="104">
        <v>214.45</v>
      </c>
      <c r="E55" s="52">
        <f t="shared" si="2"/>
        <v>-216.36</v>
      </c>
      <c r="F55" s="33">
        <f t="shared" si="1"/>
        <v>-0.021636</v>
      </c>
      <c r="G55" s="52"/>
    </row>
    <row r="56" ht="36" customHeight="1" spans="1:7">
      <c r="A56" s="6">
        <v>5</v>
      </c>
      <c r="B56" s="43" t="s">
        <v>94</v>
      </c>
      <c r="C56" s="43">
        <f>SUM(C57:C61)</f>
        <v>105800.45</v>
      </c>
      <c r="D56" s="101">
        <f>SUM(D57:D61)</f>
        <v>71642.56</v>
      </c>
      <c r="E56" s="43">
        <f t="shared" si="2"/>
        <v>-34157.89</v>
      </c>
      <c r="F56" s="31">
        <f t="shared" si="1"/>
        <v>-3.415789</v>
      </c>
      <c r="G56" s="52"/>
    </row>
    <row r="57" ht="36" customHeight="1" spans="1:7">
      <c r="A57" s="6">
        <v>5.1</v>
      </c>
      <c r="B57" s="52" t="s">
        <v>95</v>
      </c>
      <c r="C57" s="52">
        <v>67869.37</v>
      </c>
      <c r="D57" s="104">
        <v>38461.39</v>
      </c>
      <c r="E57" s="52">
        <f t="shared" si="2"/>
        <v>-29407.98</v>
      </c>
      <c r="F57" s="33">
        <f t="shared" si="1"/>
        <v>-2.940798</v>
      </c>
      <c r="G57" s="51" t="s">
        <v>96</v>
      </c>
    </row>
    <row r="58" ht="36" customHeight="1" spans="1:7">
      <c r="A58" s="6">
        <v>5.2</v>
      </c>
      <c r="B58" s="52" t="s">
        <v>97</v>
      </c>
      <c r="C58" s="52">
        <v>13676.11</v>
      </c>
      <c r="D58" s="104">
        <v>16237.79</v>
      </c>
      <c r="E58" s="52">
        <f t="shared" si="2"/>
        <v>2561.68</v>
      </c>
      <c r="F58" s="33">
        <f t="shared" si="1"/>
        <v>0.256168</v>
      </c>
      <c r="G58" s="54" t="s">
        <v>98</v>
      </c>
    </row>
    <row r="59" ht="36" customHeight="1" spans="1:7">
      <c r="A59" s="6">
        <v>5.3</v>
      </c>
      <c r="B59" s="52" t="s">
        <v>99</v>
      </c>
      <c r="C59" s="52">
        <v>3142.97</v>
      </c>
      <c r="D59" s="105">
        <v>2907.51</v>
      </c>
      <c r="E59" s="52">
        <f t="shared" si="2"/>
        <v>-235.46</v>
      </c>
      <c r="F59" s="33">
        <f t="shared" si="1"/>
        <v>-0.023546</v>
      </c>
      <c r="G59" s="52"/>
    </row>
    <row r="60" ht="36" customHeight="1" spans="1:7">
      <c r="A60" s="6">
        <v>5.4</v>
      </c>
      <c r="B60" s="52" t="s">
        <v>100</v>
      </c>
      <c r="C60" s="60">
        <v>20681.19</v>
      </c>
      <c r="D60" s="106">
        <v>13821.42</v>
      </c>
      <c r="E60" s="62">
        <f t="shared" si="2"/>
        <v>-6859.77</v>
      </c>
      <c r="F60" s="33">
        <f t="shared" si="1"/>
        <v>-0.685977</v>
      </c>
      <c r="G60" s="54" t="s">
        <v>101</v>
      </c>
    </row>
    <row r="61" ht="36" customHeight="1" spans="1:7">
      <c r="A61" s="6">
        <v>5.5</v>
      </c>
      <c r="B61" s="52" t="s">
        <v>102</v>
      </c>
      <c r="C61" s="60">
        <v>430.81</v>
      </c>
      <c r="D61" s="102">
        <v>214.45</v>
      </c>
      <c r="E61" s="62">
        <f t="shared" si="2"/>
        <v>-216.36</v>
      </c>
      <c r="F61" s="33">
        <f t="shared" si="1"/>
        <v>-0.021636</v>
      </c>
      <c r="G61" s="52"/>
    </row>
    <row r="62" ht="36" customHeight="1" spans="1:7">
      <c r="A62" s="4">
        <v>6</v>
      </c>
      <c r="B62" s="43" t="s">
        <v>103</v>
      </c>
      <c r="C62" s="43">
        <f>SUM(C63:C68)</f>
        <v>257973.28</v>
      </c>
      <c r="D62" s="107">
        <f>SUM(D63:D68)</f>
        <v>173850.85</v>
      </c>
      <c r="E62" s="43">
        <f t="shared" si="2"/>
        <v>-84122.43</v>
      </c>
      <c r="F62" s="31">
        <f t="shared" si="1"/>
        <v>-8.412243</v>
      </c>
      <c r="G62" s="43"/>
    </row>
    <row r="63" ht="36" customHeight="1" spans="1:7">
      <c r="A63" s="6">
        <v>6.1</v>
      </c>
      <c r="B63" s="52" t="s">
        <v>104</v>
      </c>
      <c r="C63" s="52">
        <v>131844.68</v>
      </c>
      <c r="D63" s="104">
        <v>57555.69</v>
      </c>
      <c r="E63" s="52">
        <f t="shared" si="2"/>
        <v>-74288.99</v>
      </c>
      <c r="F63" s="33">
        <f t="shared" si="1"/>
        <v>-7.428899</v>
      </c>
      <c r="G63" s="51" t="s">
        <v>105</v>
      </c>
    </row>
    <row r="64" customFormat="1" ht="36" customHeight="1" spans="1:7">
      <c r="A64" s="6">
        <v>6.2</v>
      </c>
      <c r="B64" s="52" t="s">
        <v>106</v>
      </c>
      <c r="C64" s="52">
        <v>64050.2</v>
      </c>
      <c r="D64" s="104">
        <v>75720.94</v>
      </c>
      <c r="E64" s="52">
        <f t="shared" si="2"/>
        <v>11670.74</v>
      </c>
      <c r="F64" s="33">
        <f t="shared" si="1"/>
        <v>1.167074</v>
      </c>
      <c r="G64" s="52"/>
    </row>
    <row r="65" customFormat="1" ht="36" customHeight="1" spans="1:7">
      <c r="A65" s="6">
        <v>6.3</v>
      </c>
      <c r="B65" s="52" t="s">
        <v>107</v>
      </c>
      <c r="C65" s="52">
        <v>9144.11</v>
      </c>
      <c r="D65" s="104">
        <v>15811.08</v>
      </c>
      <c r="E65" s="52">
        <f t="shared" si="2"/>
        <v>6666.97</v>
      </c>
      <c r="F65" s="33">
        <f t="shared" si="1"/>
        <v>0.666697</v>
      </c>
      <c r="G65" s="52"/>
    </row>
    <row r="66" customFormat="1" ht="36" customHeight="1" spans="1:7">
      <c r="A66" s="6">
        <v>6.4</v>
      </c>
      <c r="B66" s="52" t="s">
        <v>108</v>
      </c>
      <c r="C66" s="52">
        <v>40748.43</v>
      </c>
      <c r="D66" s="104">
        <v>13840.28</v>
      </c>
      <c r="E66" s="52">
        <f t="shared" si="2"/>
        <v>-26908.15</v>
      </c>
      <c r="F66" s="33">
        <f t="shared" si="1"/>
        <v>-2.690815</v>
      </c>
      <c r="G66" s="54" t="s">
        <v>109</v>
      </c>
    </row>
    <row r="67" customFormat="1" ht="36" customHeight="1" spans="1:7">
      <c r="A67" s="6">
        <v>6.5</v>
      </c>
      <c r="B67" s="52" t="s">
        <v>110</v>
      </c>
      <c r="C67" s="52">
        <v>11755.05</v>
      </c>
      <c r="D67" s="104">
        <v>10708.41</v>
      </c>
      <c r="E67" s="52">
        <f t="shared" si="2"/>
        <v>-1046.64</v>
      </c>
      <c r="F67" s="33">
        <f t="shared" si="1"/>
        <v>-0.104664</v>
      </c>
      <c r="G67" s="52"/>
    </row>
    <row r="68" customFormat="1" ht="36" customHeight="1" spans="1:7">
      <c r="A68" s="6">
        <v>6.6</v>
      </c>
      <c r="B68" s="52" t="s">
        <v>111</v>
      </c>
      <c r="C68" s="52">
        <v>430.81</v>
      </c>
      <c r="D68" s="104">
        <v>214.45</v>
      </c>
      <c r="E68" s="52">
        <f t="shared" si="2"/>
        <v>-216.36</v>
      </c>
      <c r="F68" s="33">
        <f t="shared" si="1"/>
        <v>-0.021636</v>
      </c>
      <c r="G68" s="52"/>
    </row>
    <row r="69" customFormat="1" ht="36" customHeight="1" spans="1:7">
      <c r="A69" s="4">
        <v>7</v>
      </c>
      <c r="B69" s="43" t="s">
        <v>112</v>
      </c>
      <c r="C69" s="43">
        <f>SUM(C70:C78)</f>
        <v>23744636.49</v>
      </c>
      <c r="D69" s="101">
        <f>SUM(D70:D78)</f>
        <v>21724384.5</v>
      </c>
      <c r="E69" s="43">
        <f t="shared" si="2"/>
        <v>-2020251.99</v>
      </c>
      <c r="F69" s="31">
        <f t="shared" ref="F69:F90" si="3">E69/10000</f>
        <v>-202.025199</v>
      </c>
      <c r="G69" s="43"/>
    </row>
    <row r="70" customFormat="1" ht="123" customHeight="1" spans="1:7">
      <c r="A70" s="6">
        <v>7.1</v>
      </c>
      <c r="B70" s="52" t="s">
        <v>113</v>
      </c>
      <c r="C70" s="52">
        <v>5510195.95</v>
      </c>
      <c r="D70" s="104">
        <v>5608003.03</v>
      </c>
      <c r="E70" s="52">
        <f t="shared" si="2"/>
        <v>97807.0800000001</v>
      </c>
      <c r="F70" s="33">
        <f t="shared" si="3"/>
        <v>9.78070800000001</v>
      </c>
      <c r="G70" s="51" t="s">
        <v>114</v>
      </c>
    </row>
    <row r="71" customFormat="1" ht="36" customHeight="1" spans="1:7">
      <c r="A71" s="6">
        <v>7.2</v>
      </c>
      <c r="B71" s="52" t="s">
        <v>115</v>
      </c>
      <c r="C71" s="52">
        <v>449618.3</v>
      </c>
      <c r="D71" s="104">
        <v>317072.17</v>
      </c>
      <c r="E71" s="52">
        <f t="shared" si="2"/>
        <v>-132546.13</v>
      </c>
      <c r="F71" s="33">
        <f t="shared" si="3"/>
        <v>-13.254613</v>
      </c>
      <c r="G71" s="51" t="s">
        <v>116</v>
      </c>
    </row>
    <row r="72" customFormat="1" ht="36" customHeight="1" spans="1:7">
      <c r="A72" s="6">
        <v>7.3</v>
      </c>
      <c r="B72" s="52" t="s">
        <v>117</v>
      </c>
      <c r="C72" s="52">
        <v>522465.7</v>
      </c>
      <c r="D72" s="104">
        <v>501036.95</v>
      </c>
      <c r="E72" s="52">
        <f t="shared" si="2"/>
        <v>-21428.75</v>
      </c>
      <c r="F72" s="33">
        <f t="shared" si="3"/>
        <v>-2.142875</v>
      </c>
      <c r="G72" s="51" t="s">
        <v>118</v>
      </c>
    </row>
    <row r="73" customFormat="1" ht="108" customHeight="1" spans="1:7">
      <c r="A73" s="6">
        <v>7.4</v>
      </c>
      <c r="B73" s="52" t="s">
        <v>119</v>
      </c>
      <c r="C73" s="52">
        <v>13210737.73</v>
      </c>
      <c r="D73" s="108">
        <v>11811366.04</v>
      </c>
      <c r="E73" s="52">
        <f t="shared" si="2"/>
        <v>-1399371.69</v>
      </c>
      <c r="F73" s="33">
        <f t="shared" si="3"/>
        <v>-139.937169</v>
      </c>
      <c r="G73" s="51" t="s">
        <v>120</v>
      </c>
    </row>
    <row r="74" customFormat="1" ht="76" customHeight="1" spans="1:7">
      <c r="A74" s="6">
        <v>7.5</v>
      </c>
      <c r="B74" s="52" t="s">
        <v>121</v>
      </c>
      <c r="C74" s="52">
        <v>2544339.16</v>
      </c>
      <c r="D74" s="104">
        <v>2152560.47</v>
      </c>
      <c r="E74" s="52">
        <f t="shared" si="2"/>
        <v>-391778.69</v>
      </c>
      <c r="F74" s="33">
        <f t="shared" si="3"/>
        <v>-39.177869</v>
      </c>
      <c r="G74" s="51" t="s">
        <v>122</v>
      </c>
    </row>
    <row r="75" customFormat="1" ht="36" customHeight="1" spans="1:7">
      <c r="A75" s="6">
        <v>7.6</v>
      </c>
      <c r="B75" s="52" t="s">
        <v>123</v>
      </c>
      <c r="C75" s="52">
        <v>27884.88</v>
      </c>
      <c r="D75" s="104">
        <v>17522.9</v>
      </c>
      <c r="E75" s="52">
        <f t="shared" si="2"/>
        <v>-10361.98</v>
      </c>
      <c r="F75" s="33">
        <f t="shared" si="3"/>
        <v>-1.036198</v>
      </c>
      <c r="G75" s="52"/>
    </row>
    <row r="76" customFormat="1" ht="58" customHeight="1" spans="1:7">
      <c r="A76" s="6">
        <v>7.7</v>
      </c>
      <c r="B76" s="52" t="s">
        <v>124</v>
      </c>
      <c r="C76" s="52">
        <v>409743.85</v>
      </c>
      <c r="D76" s="104">
        <v>370681.97</v>
      </c>
      <c r="E76" s="52">
        <f t="shared" si="2"/>
        <v>-39061.88</v>
      </c>
      <c r="F76" s="33">
        <f t="shared" si="3"/>
        <v>-3.906188</v>
      </c>
      <c r="G76" s="51" t="s">
        <v>125</v>
      </c>
    </row>
    <row r="77" customFormat="1" ht="36" customHeight="1" spans="1:7">
      <c r="A77" s="6">
        <v>7.8</v>
      </c>
      <c r="B77" s="52" t="s">
        <v>126</v>
      </c>
      <c r="C77" s="52">
        <v>16917.69</v>
      </c>
      <c r="D77" s="104">
        <v>21143.55</v>
      </c>
      <c r="E77" s="52">
        <f t="shared" si="2"/>
        <v>4225.86</v>
      </c>
      <c r="F77" s="33">
        <f t="shared" si="3"/>
        <v>0.422586</v>
      </c>
      <c r="G77" s="52"/>
    </row>
    <row r="78" customFormat="1" ht="87" customHeight="1" spans="1:7">
      <c r="A78" s="6">
        <v>7.9</v>
      </c>
      <c r="B78" s="52" t="s">
        <v>127</v>
      </c>
      <c r="C78" s="52">
        <v>1052733.23</v>
      </c>
      <c r="D78" s="104">
        <v>924997.42</v>
      </c>
      <c r="E78" s="52">
        <f t="shared" si="2"/>
        <v>-127735.81</v>
      </c>
      <c r="F78" s="33">
        <f t="shared" si="3"/>
        <v>-12.773581</v>
      </c>
      <c r="G78" s="51" t="s">
        <v>128</v>
      </c>
    </row>
    <row r="79" customFormat="1" ht="36" customHeight="1" spans="1:7">
      <c r="A79" s="4">
        <v>8</v>
      </c>
      <c r="B79" s="43" t="s">
        <v>129</v>
      </c>
      <c r="C79" s="43">
        <f>C80</f>
        <v>2504213.55</v>
      </c>
      <c r="D79" s="101">
        <f>D80</f>
        <v>2578872.08</v>
      </c>
      <c r="E79" s="43">
        <f t="shared" si="2"/>
        <v>74658.5300000003</v>
      </c>
      <c r="F79" s="31">
        <f t="shared" si="3"/>
        <v>7.46585300000003</v>
      </c>
      <c r="G79" s="51" t="s">
        <v>154</v>
      </c>
    </row>
    <row r="80" customFormat="1" ht="36" customHeight="1" spans="1:7">
      <c r="A80" s="6">
        <v>8.1</v>
      </c>
      <c r="B80" s="52" t="s">
        <v>130</v>
      </c>
      <c r="C80" s="52">
        <v>2504213.55</v>
      </c>
      <c r="D80" s="102">
        <v>2578872.08</v>
      </c>
      <c r="E80" s="52">
        <f t="shared" si="2"/>
        <v>74658.5300000003</v>
      </c>
      <c r="F80" s="33">
        <f t="shared" si="3"/>
        <v>7.46585300000003</v>
      </c>
      <c r="G80" s="52"/>
    </row>
    <row r="81" customFormat="1" ht="36" customHeight="1" spans="1:7">
      <c r="A81" s="4">
        <v>9</v>
      </c>
      <c r="B81" s="43" t="s">
        <v>131</v>
      </c>
      <c r="C81" s="43">
        <f>SUM(C82:C86)</f>
        <v>8799715.61</v>
      </c>
      <c r="D81" s="101">
        <f>SUM(D82:D86)</f>
        <v>5107984.94</v>
      </c>
      <c r="E81" s="43">
        <f t="shared" si="2"/>
        <v>-3691730.67</v>
      </c>
      <c r="F81" s="31">
        <f t="shared" si="3"/>
        <v>-369.173067</v>
      </c>
      <c r="G81" s="43"/>
    </row>
    <row r="82" customFormat="1" ht="36" customHeight="1" spans="1:7">
      <c r="A82" s="6">
        <v>9.1</v>
      </c>
      <c r="B82" s="51" t="s">
        <v>132</v>
      </c>
      <c r="C82" s="52">
        <v>5061584.67</v>
      </c>
      <c r="D82" s="104">
        <f>1275878.76+2220513.27</f>
        <v>3496392.03</v>
      </c>
      <c r="E82" s="52">
        <f t="shared" si="2"/>
        <v>-1565192.64</v>
      </c>
      <c r="F82" s="33">
        <f t="shared" si="3"/>
        <v>-156.519264</v>
      </c>
      <c r="G82" s="51" t="s">
        <v>133</v>
      </c>
    </row>
    <row r="83" customFormat="1" ht="36" customHeight="1" spans="1:7">
      <c r="A83" s="6">
        <v>9.2</v>
      </c>
      <c r="B83" s="52" t="s">
        <v>134</v>
      </c>
      <c r="C83" s="52">
        <v>2067276.06</v>
      </c>
      <c r="D83" s="104">
        <v>223349.54</v>
      </c>
      <c r="E83" s="52">
        <f t="shared" si="2"/>
        <v>-1843926.52</v>
      </c>
      <c r="F83" s="33">
        <f t="shared" si="3"/>
        <v>-184.392652</v>
      </c>
      <c r="G83" s="51" t="s">
        <v>135</v>
      </c>
    </row>
    <row r="84" customFormat="1" ht="36" customHeight="1" spans="1:7">
      <c r="A84" s="6">
        <v>9.3</v>
      </c>
      <c r="B84" s="52" t="s">
        <v>136</v>
      </c>
      <c r="C84" s="52">
        <v>1374198.21</v>
      </c>
      <c r="D84" s="102">
        <v>1273274.33</v>
      </c>
      <c r="E84" s="52">
        <f t="shared" si="2"/>
        <v>-100923.88</v>
      </c>
      <c r="F84" s="33">
        <f t="shared" si="3"/>
        <v>-10.092388</v>
      </c>
      <c r="G84" s="51" t="s">
        <v>137</v>
      </c>
    </row>
    <row r="85" customFormat="1" ht="36" customHeight="1" spans="1:7">
      <c r="A85" s="6">
        <v>9.4</v>
      </c>
      <c r="B85" s="52" t="s">
        <v>138</v>
      </c>
      <c r="C85" s="52">
        <v>98727.19</v>
      </c>
      <c r="D85" s="104">
        <v>114969.04</v>
      </c>
      <c r="E85" s="52">
        <f t="shared" si="2"/>
        <v>16241.85</v>
      </c>
      <c r="F85" s="33">
        <f t="shared" si="3"/>
        <v>1.624185</v>
      </c>
      <c r="G85" s="51"/>
    </row>
    <row r="86" customFormat="1" ht="36" customHeight="1" spans="1:7">
      <c r="A86" s="6">
        <v>9.5</v>
      </c>
      <c r="B86" s="52" t="s">
        <v>138</v>
      </c>
      <c r="C86" s="52">
        <v>197929.48</v>
      </c>
      <c r="D86" s="104"/>
      <c r="E86" s="52">
        <f t="shared" si="2"/>
        <v>-197929.48</v>
      </c>
      <c r="F86" s="33">
        <f t="shared" si="3"/>
        <v>-19.792948</v>
      </c>
      <c r="G86" s="51"/>
    </row>
    <row r="87" s="1" customFormat="1" ht="29" customHeight="1" spans="1:7">
      <c r="A87" s="41" t="s">
        <v>139</v>
      </c>
      <c r="B87" s="45" t="s">
        <v>140</v>
      </c>
      <c r="C87" s="28">
        <f>C88</f>
        <v>5951024</v>
      </c>
      <c r="D87" s="28">
        <f>D88</f>
        <v>3398257.45</v>
      </c>
      <c r="E87" s="46">
        <f t="shared" si="2"/>
        <v>-2552766.55</v>
      </c>
      <c r="F87" s="46">
        <f t="shared" si="3"/>
        <v>-255.276655</v>
      </c>
      <c r="G87" s="28" t="s">
        <v>155</v>
      </c>
    </row>
    <row r="88" ht="29" customHeight="1" spans="1:7">
      <c r="A88" s="95">
        <v>10</v>
      </c>
      <c r="B88" s="96" t="s">
        <v>141</v>
      </c>
      <c r="C88" s="109">
        <v>5951024</v>
      </c>
      <c r="D88" s="25">
        <v>3398257.45</v>
      </c>
      <c r="E88" s="80">
        <f t="shared" si="2"/>
        <v>-2552766.55</v>
      </c>
      <c r="F88" s="80">
        <f t="shared" si="3"/>
        <v>-255.276655</v>
      </c>
      <c r="G88" s="69"/>
    </row>
    <row r="89" s="11" customFormat="1" ht="27" customHeight="1" spans="1:7">
      <c r="A89" s="110" t="s">
        <v>143</v>
      </c>
      <c r="B89" s="29" t="s">
        <v>144</v>
      </c>
      <c r="C89" s="28">
        <f>(C88+C29+C5)*3%</f>
        <v>10424751.7131</v>
      </c>
      <c r="D89" s="28">
        <f>(D88+D29+D5)*3%</f>
        <v>9501327.4641636</v>
      </c>
      <c r="E89" s="28">
        <f>(E88+E29+E5)*3%</f>
        <v>-923424.2489364</v>
      </c>
      <c r="F89" s="46">
        <f t="shared" si="3"/>
        <v>-92.34242489364</v>
      </c>
      <c r="G89" s="99"/>
    </row>
    <row r="90" s="11" customFormat="1" ht="27" customHeight="1" spans="1:7">
      <c r="A90" s="28"/>
      <c r="B90" s="28" t="s">
        <v>145</v>
      </c>
      <c r="C90" s="30">
        <f>C88+C29+C5+C89</f>
        <v>357916475.4831</v>
      </c>
      <c r="D90" s="30">
        <f>D88+D29+D5+D89</f>
        <v>326212242.936284</v>
      </c>
      <c r="E90" s="30">
        <f>E88+E29+E5+E89</f>
        <v>-31704232.5468164</v>
      </c>
      <c r="F90" s="46">
        <f t="shared" si="3"/>
        <v>-3170.42325468164</v>
      </c>
      <c r="G90" s="29"/>
    </row>
    <row r="91" ht="36" customHeight="1"/>
    <row r="92" ht="36" customHeight="1"/>
    <row r="93" ht="36" customHeight="1"/>
    <row r="94" ht="36" customHeight="1"/>
    <row r="95" ht="36" customHeight="1"/>
    <row r="96" ht="36" customHeight="1"/>
    <row r="97" ht="36" customHeight="1"/>
    <row r="98" ht="36" customHeight="1"/>
    <row r="99" ht="36" customHeight="1"/>
    <row r="100" ht="36" customHeight="1"/>
    <row r="101" ht="36" customHeight="1"/>
    <row r="102" ht="36" customHeight="1"/>
    <row r="103" ht="36" customHeight="1"/>
    <row r="104" ht="36" customHeight="1"/>
    <row r="105" ht="36" customHeight="1"/>
    <row r="106" ht="36" customHeight="1"/>
    <row r="107" ht="36" customHeight="1"/>
    <row r="108" ht="36" customHeight="1"/>
    <row r="109" ht="36" customHeight="1"/>
  </sheetData>
  <mergeCells count="9">
    <mergeCell ref="A1:G1"/>
    <mergeCell ref="A2:D2"/>
    <mergeCell ref="A3:A4"/>
    <mergeCell ref="B3:B4"/>
    <mergeCell ref="C3:C4"/>
    <mergeCell ref="D3:D4"/>
    <mergeCell ref="E3:E4"/>
    <mergeCell ref="F3:F4"/>
    <mergeCell ref="G3:G4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M91"/>
  <sheetViews>
    <sheetView workbookViewId="0">
      <pane ySplit="4" topLeftCell="A5" activePane="bottomLeft" state="frozen"/>
      <selection/>
      <selection pane="bottomLeft" activeCell="D5" sqref="D5"/>
    </sheetView>
  </sheetViews>
  <sheetFormatPr defaultColWidth="9" defaultRowHeight="14"/>
  <cols>
    <col min="1" max="1" width="6.75454545454545" style="12" customWidth="1"/>
    <col min="2" max="2" width="20.3727272727273" customWidth="1"/>
    <col min="3" max="3" width="13.8727272727273" customWidth="1"/>
    <col min="4" max="4" width="15.5" style="38" customWidth="1"/>
    <col min="5" max="5" width="15.6272727272727" customWidth="1"/>
    <col min="6" max="6" width="15.8727272727273" style="15" customWidth="1"/>
    <col min="7" max="8" width="43.6272727272727" style="17" customWidth="1"/>
    <col min="9" max="9" width="19.7545454545455" style="17" customWidth="1"/>
    <col min="10" max="10" width="17.1272727272727" customWidth="1"/>
    <col min="11" max="11" width="15.3727272727273"/>
    <col min="12" max="13" width="14.1272727272727"/>
    <col min="14" max="14" width="10.3727272727273"/>
  </cols>
  <sheetData>
    <row r="1" ht="25.5" spans="1:9">
      <c r="A1" s="18" t="s">
        <v>156</v>
      </c>
      <c r="B1" s="18"/>
      <c r="C1" s="18"/>
      <c r="D1" s="39"/>
      <c r="E1" s="18"/>
      <c r="F1" s="21"/>
      <c r="G1" s="19"/>
      <c r="H1" s="19"/>
      <c r="I1" s="19"/>
    </row>
    <row r="2" ht="16" customHeight="1" spans="1:9">
      <c r="A2" s="72" t="s">
        <v>1</v>
      </c>
      <c r="B2" s="72"/>
      <c r="C2" s="72"/>
      <c r="D2" s="73"/>
      <c r="E2" s="22"/>
      <c r="F2" s="23"/>
      <c r="G2" s="22"/>
      <c r="H2" s="22"/>
      <c r="I2" s="22"/>
    </row>
    <row r="3" spans="1:9">
      <c r="A3" s="28" t="s">
        <v>2</v>
      </c>
      <c r="B3" s="28" t="s">
        <v>3</v>
      </c>
      <c r="C3" s="28" t="s">
        <v>157</v>
      </c>
      <c r="D3" s="30" t="s">
        <v>158</v>
      </c>
      <c r="E3" s="28" t="s">
        <v>6</v>
      </c>
      <c r="F3" s="30" t="s">
        <v>7</v>
      </c>
      <c r="G3" s="28" t="s">
        <v>8</v>
      </c>
      <c r="H3" s="40"/>
      <c r="I3" s="40"/>
    </row>
    <row r="4" spans="1:9">
      <c r="A4" s="28"/>
      <c r="B4" s="28"/>
      <c r="C4" s="28"/>
      <c r="D4" s="30"/>
      <c r="E4" s="28"/>
      <c r="F4" s="30"/>
      <c r="G4" s="28"/>
      <c r="H4" s="40"/>
      <c r="I4" s="40"/>
    </row>
    <row r="5" s="1" customFormat="1" ht="29" customHeight="1" spans="1:9">
      <c r="A5" s="47" t="s">
        <v>9</v>
      </c>
      <c r="B5" s="49" t="s">
        <v>10</v>
      </c>
      <c r="C5" s="25">
        <f>C6+C7+C8+C9+C10</f>
        <v>300271531</v>
      </c>
      <c r="D5" s="27">
        <f>D6+D7+D8+D9+D10</f>
        <v>287493321.97844</v>
      </c>
      <c r="E5" s="52">
        <f>D5-C5</f>
        <v>-12778209.02156</v>
      </c>
      <c r="F5" s="33">
        <f>E5/10000</f>
        <v>-1277.820902156</v>
      </c>
      <c r="G5" s="32"/>
      <c r="H5" s="32" t="s">
        <v>146</v>
      </c>
      <c r="I5" s="44"/>
    </row>
    <row r="6" s="1" customFormat="1" ht="87" customHeight="1" spans="1:13">
      <c r="A6" s="47" t="s">
        <v>12</v>
      </c>
      <c r="B6" s="48" t="s">
        <v>13</v>
      </c>
      <c r="C6" s="49">
        <v>10029515</v>
      </c>
      <c r="D6" s="80">
        <v>8943277.91844</v>
      </c>
      <c r="E6" s="33">
        <f>D6-C6</f>
        <v>-1086237.08156</v>
      </c>
      <c r="F6" s="33">
        <f>E6/10000</f>
        <v>-108.623708156</v>
      </c>
      <c r="G6" s="89" t="s">
        <v>159</v>
      </c>
      <c r="H6" s="34" t="s">
        <v>160</v>
      </c>
      <c r="I6" s="1">
        <f>E6+E8+E9</f>
        <v>-27783501.36156</v>
      </c>
      <c r="J6" s="1">
        <f>F6+F8+F9</f>
        <v>-2778.350136156</v>
      </c>
      <c r="K6" s="1">
        <f>D6-上次发出稿!D6</f>
        <v>-826892.043679999</v>
      </c>
      <c r="L6" s="1">
        <f>D5+D62+D69</f>
        <v>292723378.20844</v>
      </c>
      <c r="M6" s="1" t="e">
        <f>L6-#REF!</f>
        <v>#REF!</v>
      </c>
    </row>
    <row r="7" s="1" customFormat="1" ht="63" customHeight="1" spans="1:13">
      <c r="A7" s="47">
        <v>2</v>
      </c>
      <c r="B7" s="48" t="s">
        <v>20</v>
      </c>
      <c r="C7" s="49">
        <v>16808890</v>
      </c>
      <c r="D7" s="27">
        <v>28887088.67</v>
      </c>
      <c r="E7" s="52">
        <f>D7-C7</f>
        <v>12078198.67</v>
      </c>
      <c r="F7" s="33">
        <f>E7/10000</f>
        <v>1207.819867</v>
      </c>
      <c r="G7" s="26" t="s">
        <v>161</v>
      </c>
      <c r="H7" s="25" t="s">
        <v>162</v>
      </c>
      <c r="I7" s="35">
        <f>E7+E10</f>
        <v>15005292.34</v>
      </c>
      <c r="J7" s="35">
        <f>F7+F10</f>
        <v>1500.529234</v>
      </c>
      <c r="K7" s="1">
        <f>D7-上次发出稿!D9</f>
        <v>10854542.64</v>
      </c>
      <c r="M7" s="1">
        <v>6686624.8</v>
      </c>
    </row>
    <row r="8" s="1" customFormat="1" ht="75" customHeight="1" spans="1:13">
      <c r="A8" s="47" t="s">
        <v>23</v>
      </c>
      <c r="B8" s="48" t="s">
        <v>24</v>
      </c>
      <c r="C8" s="49">
        <v>171318408</v>
      </c>
      <c r="D8" s="27">
        <v>162419129.41</v>
      </c>
      <c r="E8" s="52">
        <f>D8-C8</f>
        <v>-8899278.59</v>
      </c>
      <c r="F8" s="33">
        <f>E8/10000</f>
        <v>-889.927859</v>
      </c>
      <c r="G8" s="26" t="s">
        <v>163</v>
      </c>
      <c r="H8" s="25" t="s">
        <v>163</v>
      </c>
      <c r="I8" s="40"/>
      <c r="J8" s="35"/>
      <c r="K8" s="1">
        <f>D8-上次发出稿!D10</f>
        <v>195103.400000006</v>
      </c>
      <c r="M8" s="1" t="e">
        <f>M7+M6</f>
        <v>#REF!</v>
      </c>
    </row>
    <row r="9" s="1" customFormat="1" ht="55" customHeight="1" spans="1:10">
      <c r="A9" s="47">
        <v>4</v>
      </c>
      <c r="B9" s="48" t="s">
        <v>43</v>
      </c>
      <c r="C9" s="49">
        <v>48121421</v>
      </c>
      <c r="D9" s="27">
        <v>30323435.31</v>
      </c>
      <c r="E9" s="52">
        <f t="shared" ref="E9:E70" si="0">D9-C9</f>
        <v>-17797985.69</v>
      </c>
      <c r="F9" s="33">
        <f t="shared" ref="F9:F50" si="1">E9/10000</f>
        <v>-1779.798569</v>
      </c>
      <c r="G9" s="26" t="s">
        <v>164</v>
      </c>
      <c r="H9" s="25" t="s">
        <v>164</v>
      </c>
      <c r="I9" s="40"/>
      <c r="J9" s="35"/>
    </row>
    <row r="10" s="1" customFormat="1" ht="48" customHeight="1" spans="1:10">
      <c r="A10" s="47">
        <v>5</v>
      </c>
      <c r="B10" s="48" t="s">
        <v>45</v>
      </c>
      <c r="C10" s="49">
        <v>53993297</v>
      </c>
      <c r="D10" s="27">
        <v>56920390.67</v>
      </c>
      <c r="E10" s="52">
        <f t="shared" si="0"/>
        <v>2927093.67</v>
      </c>
      <c r="F10" s="33">
        <f t="shared" si="1"/>
        <v>292.709367</v>
      </c>
      <c r="G10" s="26" t="s">
        <v>165</v>
      </c>
      <c r="H10" s="25" t="s">
        <v>165</v>
      </c>
      <c r="I10" s="40"/>
      <c r="J10" s="35"/>
    </row>
    <row r="11" ht="48" customHeight="1" spans="1:13">
      <c r="A11" s="47" t="s">
        <v>48</v>
      </c>
      <c r="B11" s="48" t="s">
        <v>49</v>
      </c>
      <c r="C11" s="25">
        <f>C12+C19+C26+C32+C38+C44+C51+C61+C63</f>
        <v>41269168.77</v>
      </c>
      <c r="D11" s="27">
        <f>D12+D19+D26+D32+D38+D44+D51+D61+D63</f>
        <v>39899331.04</v>
      </c>
      <c r="E11" s="25">
        <f>E12+E19+E26+E32+E38+E44+E51+E61+E63</f>
        <v>-1369837.73</v>
      </c>
      <c r="F11" s="33">
        <f t="shared" si="1"/>
        <v>-136.983773</v>
      </c>
      <c r="G11" s="26" t="s">
        <v>166</v>
      </c>
      <c r="H11" s="25" t="s">
        <v>166</v>
      </c>
      <c r="I11" s="40"/>
      <c r="K11">
        <f>D11-D61</f>
        <v>37346080.16</v>
      </c>
      <c r="M11" s="36"/>
    </row>
    <row r="12" ht="38" customHeight="1" spans="1:10">
      <c r="A12" s="6">
        <v>1</v>
      </c>
      <c r="B12" s="52" t="s">
        <v>50</v>
      </c>
      <c r="C12" s="52">
        <f>SUM(C13:C18)</f>
        <v>4571724.26</v>
      </c>
      <c r="D12" s="53">
        <f>SUM(D13:D18)</f>
        <v>3993404.14</v>
      </c>
      <c r="E12" s="52">
        <f t="shared" si="0"/>
        <v>-578320.12</v>
      </c>
      <c r="F12" s="33">
        <f t="shared" si="1"/>
        <v>-57.832012</v>
      </c>
      <c r="G12" s="90"/>
      <c r="H12" s="51"/>
      <c r="I12">
        <f>E13+E20+E28+E34+E46+E52+E59+E62+E65+E66+E67+E68+E21+E40+E47+E23</f>
        <v>2877736.5</v>
      </c>
      <c r="J12">
        <f>F13+F20+F28+F34+F46+F52+F59+F62+F65+F66+F67+F68+F21+F40+F47+F23</f>
        <v>287.77365</v>
      </c>
    </row>
    <row r="13" ht="63" customHeight="1" spans="1:10">
      <c r="A13" s="6">
        <v>1.1</v>
      </c>
      <c r="B13" s="52" t="s">
        <v>51</v>
      </c>
      <c r="C13" s="6">
        <v>800792.51</v>
      </c>
      <c r="D13" s="53">
        <v>868381.81</v>
      </c>
      <c r="E13" s="52">
        <f t="shared" si="0"/>
        <v>67589.3</v>
      </c>
      <c r="F13" s="33">
        <f t="shared" si="1"/>
        <v>6.75893</v>
      </c>
      <c r="G13" s="91" t="s">
        <v>52</v>
      </c>
      <c r="H13" s="54" t="s">
        <v>52</v>
      </c>
      <c r="I13">
        <f>E14+E15+E16+E17+E18+E22+E24+E25+E27+E29+E30+E31+E33+E35+E36+E37+E39+E41+E42+E43+E45+E48+E49+E50+E53+E54+E55+E56+E57+E58+E60+E64</f>
        <v>-4247574.23</v>
      </c>
      <c r="J13">
        <f>F14+F15+F16+F17+F18+F22+F24+F25+F27+F29+F30+F31+F33+F35+F36+F37+F39+F41+F42+F43+F45+F48+F49+F50+F53+F54+F55+F56+F57+F58+F60+F64</f>
        <v>-424.757423</v>
      </c>
    </row>
    <row r="14" ht="46" customHeight="1" spans="1:10">
      <c r="A14" s="6">
        <v>1.2</v>
      </c>
      <c r="B14" s="52" t="s">
        <v>53</v>
      </c>
      <c r="C14" s="6">
        <v>3664352.89</v>
      </c>
      <c r="D14" s="53">
        <v>3044970.44</v>
      </c>
      <c r="E14" s="52">
        <f t="shared" si="0"/>
        <v>-619382.45</v>
      </c>
      <c r="F14" s="33">
        <f t="shared" si="1"/>
        <v>-61.938245</v>
      </c>
      <c r="G14" s="91" t="s">
        <v>54</v>
      </c>
      <c r="H14" s="54" t="s">
        <v>54</v>
      </c>
      <c r="I14" s="55"/>
      <c r="J14">
        <f>J13+J12-F11</f>
        <v>-4.83169060316868e-13</v>
      </c>
    </row>
    <row r="15" ht="38" customHeight="1" spans="1:9">
      <c r="A15" s="6">
        <v>1.3</v>
      </c>
      <c r="B15" s="52" t="s">
        <v>56</v>
      </c>
      <c r="C15" s="6">
        <v>58020.71</v>
      </c>
      <c r="D15" s="53">
        <v>35089.54</v>
      </c>
      <c r="E15" s="52">
        <f t="shared" si="0"/>
        <v>-22931.17</v>
      </c>
      <c r="F15" s="33">
        <f t="shared" si="1"/>
        <v>-2.293117</v>
      </c>
      <c r="G15" s="91" t="s">
        <v>57</v>
      </c>
      <c r="H15" s="54" t="s">
        <v>57</v>
      </c>
      <c r="I15" s="55"/>
    </row>
    <row r="16" ht="38" customHeight="1" spans="1:9">
      <c r="A16" s="6">
        <v>1.4</v>
      </c>
      <c r="B16" s="52" t="s">
        <v>58</v>
      </c>
      <c r="C16" s="6">
        <v>42259.41</v>
      </c>
      <c r="D16" s="53">
        <v>41990.42</v>
      </c>
      <c r="E16" s="52">
        <f t="shared" si="0"/>
        <v>-268.990000000005</v>
      </c>
      <c r="F16" s="33">
        <f t="shared" si="1"/>
        <v>-0.0268990000000005</v>
      </c>
      <c r="G16" s="92"/>
      <c r="H16" s="52"/>
      <c r="I16" s="14"/>
    </row>
    <row r="17" ht="38" customHeight="1" spans="1:9">
      <c r="A17" s="6">
        <v>1.5</v>
      </c>
      <c r="B17" s="52" t="s">
        <v>60</v>
      </c>
      <c r="C17" s="6">
        <v>3713.85</v>
      </c>
      <c r="D17" s="53">
        <v>1684.46</v>
      </c>
      <c r="E17" s="52">
        <f t="shared" si="0"/>
        <v>-2029.39</v>
      </c>
      <c r="F17" s="33">
        <f t="shared" si="1"/>
        <v>-0.202939</v>
      </c>
      <c r="G17" s="91" t="s">
        <v>61</v>
      </c>
      <c r="H17" s="54" t="s">
        <v>61</v>
      </c>
      <c r="I17" s="55"/>
    </row>
    <row r="18" ht="38" customHeight="1" spans="1:9">
      <c r="A18" s="6">
        <v>1.6</v>
      </c>
      <c r="B18" s="52" t="s">
        <v>62</v>
      </c>
      <c r="C18" s="6">
        <v>2584.89</v>
      </c>
      <c r="D18" s="53">
        <v>1287.47</v>
      </c>
      <c r="E18" s="52">
        <f t="shared" si="0"/>
        <v>-1297.42</v>
      </c>
      <c r="F18" s="33">
        <f t="shared" si="1"/>
        <v>-0.129742</v>
      </c>
      <c r="G18" s="91" t="s">
        <v>63</v>
      </c>
      <c r="H18" s="54" t="s">
        <v>63</v>
      </c>
      <c r="I18" s="55"/>
    </row>
    <row r="19" ht="38" customHeight="1" spans="1:9">
      <c r="A19" s="6">
        <v>2</v>
      </c>
      <c r="B19" s="52" t="s">
        <v>64</v>
      </c>
      <c r="C19" s="52">
        <f>SUM(C20:C25)</f>
        <v>1048364.5</v>
      </c>
      <c r="D19" s="53">
        <f>SUM(D20:D25)</f>
        <v>1106775.31</v>
      </c>
      <c r="E19" s="52">
        <f t="shared" si="0"/>
        <v>58410.8100000001</v>
      </c>
      <c r="F19" s="33">
        <f t="shared" si="1"/>
        <v>5.84108100000001</v>
      </c>
      <c r="G19" s="92"/>
      <c r="H19" s="52"/>
      <c r="I19" s="14"/>
    </row>
    <row r="20" ht="38" customHeight="1" spans="1:9">
      <c r="A20" s="6">
        <v>2.1</v>
      </c>
      <c r="B20" s="52" t="s">
        <v>65</v>
      </c>
      <c r="C20" s="52">
        <v>764789.32</v>
      </c>
      <c r="D20" s="53">
        <v>820200.93</v>
      </c>
      <c r="E20" s="52">
        <f t="shared" si="0"/>
        <v>55411.6100000001</v>
      </c>
      <c r="F20" s="33">
        <f t="shared" si="1"/>
        <v>5.54116100000001</v>
      </c>
      <c r="G20" s="90" t="s">
        <v>66</v>
      </c>
      <c r="H20" s="51" t="s">
        <v>66</v>
      </c>
      <c r="I20" s="56"/>
    </row>
    <row r="21" ht="38" customHeight="1" spans="1:9">
      <c r="A21" s="6">
        <v>2.2</v>
      </c>
      <c r="B21" s="52" t="s">
        <v>67</v>
      </c>
      <c r="C21" s="52">
        <v>213848.83</v>
      </c>
      <c r="D21" s="53">
        <v>231772.06</v>
      </c>
      <c r="E21" s="52">
        <f t="shared" si="0"/>
        <v>17923.23</v>
      </c>
      <c r="F21" s="33">
        <f t="shared" si="1"/>
        <v>1.792323</v>
      </c>
      <c r="G21" s="90" t="s">
        <v>68</v>
      </c>
      <c r="H21" s="51" t="s">
        <v>68</v>
      </c>
      <c r="I21" s="56"/>
    </row>
    <row r="22" ht="38" customHeight="1" spans="1:9">
      <c r="A22" s="6">
        <v>2.3</v>
      </c>
      <c r="B22" s="52" t="s">
        <v>69</v>
      </c>
      <c r="C22" s="52">
        <v>48424.01</v>
      </c>
      <c r="D22" s="53">
        <v>31399.19</v>
      </c>
      <c r="E22" s="52">
        <f t="shared" si="0"/>
        <v>-17024.82</v>
      </c>
      <c r="F22" s="33">
        <f t="shared" si="1"/>
        <v>-1.702482</v>
      </c>
      <c r="G22" s="91" t="s">
        <v>70</v>
      </c>
      <c r="H22" s="54" t="s">
        <v>70</v>
      </c>
      <c r="I22" s="55"/>
    </row>
    <row r="23" ht="38" customHeight="1" spans="1:9">
      <c r="A23" s="6">
        <v>2.4</v>
      </c>
      <c r="B23" s="52" t="s">
        <v>71</v>
      </c>
      <c r="C23" s="52">
        <v>5511.29</v>
      </c>
      <c r="D23" s="53">
        <v>8930.11</v>
      </c>
      <c r="E23" s="52">
        <f t="shared" si="0"/>
        <v>3418.82</v>
      </c>
      <c r="F23" s="33">
        <f t="shared" si="1"/>
        <v>0.341882</v>
      </c>
      <c r="G23" s="91" t="s">
        <v>72</v>
      </c>
      <c r="H23" s="54" t="s">
        <v>72</v>
      </c>
      <c r="I23" s="55"/>
    </row>
    <row r="24" ht="38" customHeight="1" spans="1:9">
      <c r="A24" s="6">
        <v>2.5</v>
      </c>
      <c r="B24" s="52" t="s">
        <v>73</v>
      </c>
      <c r="C24" s="52">
        <v>14067.78</v>
      </c>
      <c r="D24" s="53">
        <v>13615.25</v>
      </c>
      <c r="E24" s="52">
        <f t="shared" si="0"/>
        <v>-452.530000000001</v>
      </c>
      <c r="F24" s="33">
        <f t="shared" si="1"/>
        <v>-0.0452530000000001</v>
      </c>
      <c r="G24" s="91" t="s">
        <v>74</v>
      </c>
      <c r="H24" s="54" t="s">
        <v>74</v>
      </c>
      <c r="I24" s="55"/>
    </row>
    <row r="25" ht="38" customHeight="1" spans="1:9">
      <c r="A25" s="6">
        <v>2.6</v>
      </c>
      <c r="B25" s="52" t="s">
        <v>75</v>
      </c>
      <c r="C25" s="52">
        <v>1723.27</v>
      </c>
      <c r="D25" s="53">
        <v>857.77</v>
      </c>
      <c r="E25" s="52">
        <f t="shared" si="0"/>
        <v>-865.5</v>
      </c>
      <c r="F25" s="33">
        <f t="shared" si="1"/>
        <v>-0.08655</v>
      </c>
      <c r="G25" s="91"/>
      <c r="H25" s="54"/>
      <c r="I25" s="55"/>
    </row>
    <row r="26" ht="38" customHeight="1" spans="1:9">
      <c r="A26" s="6">
        <v>3</v>
      </c>
      <c r="B26" s="52" t="s">
        <v>76</v>
      </c>
      <c r="C26" s="52">
        <f>SUM(C27:C31)</f>
        <v>132922.97</v>
      </c>
      <c r="D26" s="53">
        <f>SUM(D27:D31)</f>
        <v>100686.01</v>
      </c>
      <c r="E26" s="52">
        <f t="shared" si="0"/>
        <v>-32236.96</v>
      </c>
      <c r="F26" s="33">
        <f t="shared" si="1"/>
        <v>-3.223696</v>
      </c>
      <c r="G26" s="93"/>
      <c r="H26" s="43"/>
      <c r="I26" s="57"/>
    </row>
    <row r="27" ht="48" customHeight="1" spans="1:9">
      <c r="A27" s="6">
        <v>3.1</v>
      </c>
      <c r="B27" s="52" t="s">
        <v>77</v>
      </c>
      <c r="C27" s="52">
        <v>83444.35</v>
      </c>
      <c r="D27" s="58">
        <v>60278.43</v>
      </c>
      <c r="E27" s="52">
        <f t="shared" si="0"/>
        <v>-23165.92</v>
      </c>
      <c r="F27" s="33">
        <f t="shared" si="1"/>
        <v>-2.316592</v>
      </c>
      <c r="G27" s="91" t="s">
        <v>78</v>
      </c>
      <c r="H27" s="54" t="s">
        <v>78</v>
      </c>
      <c r="I27" s="55"/>
    </row>
    <row r="28" ht="38" customHeight="1" spans="1:9">
      <c r="A28" s="6">
        <v>3.2</v>
      </c>
      <c r="B28" s="52" t="s">
        <v>79</v>
      </c>
      <c r="C28" s="52">
        <v>19036.44</v>
      </c>
      <c r="D28" s="58">
        <v>23304.23</v>
      </c>
      <c r="E28" s="52">
        <f t="shared" si="0"/>
        <v>4267.79</v>
      </c>
      <c r="F28" s="33">
        <f t="shared" si="1"/>
        <v>0.426779</v>
      </c>
      <c r="G28" s="91" t="s">
        <v>80</v>
      </c>
      <c r="H28" s="54" t="s">
        <v>80</v>
      </c>
      <c r="I28" s="55"/>
    </row>
    <row r="29" ht="38" customHeight="1" spans="1:9">
      <c r="A29" s="6">
        <v>3.3</v>
      </c>
      <c r="B29" s="52" t="s">
        <v>81</v>
      </c>
      <c r="C29" s="52">
        <v>3142.97</v>
      </c>
      <c r="D29" s="58">
        <v>2907.51</v>
      </c>
      <c r="E29" s="52">
        <f t="shared" si="0"/>
        <v>-235.46</v>
      </c>
      <c r="F29" s="33">
        <f t="shared" si="1"/>
        <v>-0.023546</v>
      </c>
      <c r="G29" s="92"/>
      <c r="H29" s="52"/>
      <c r="I29" s="14"/>
    </row>
    <row r="30" ht="38" customHeight="1" spans="1:9">
      <c r="A30" s="6">
        <v>3.4</v>
      </c>
      <c r="B30" s="52" t="s">
        <v>82</v>
      </c>
      <c r="C30" s="52">
        <v>26868.4</v>
      </c>
      <c r="D30" s="58">
        <v>13981.39</v>
      </c>
      <c r="E30" s="52">
        <f t="shared" si="0"/>
        <v>-12887.01</v>
      </c>
      <c r="F30" s="33">
        <f t="shared" si="1"/>
        <v>-1.288701</v>
      </c>
      <c r="G30" s="91" t="s">
        <v>83</v>
      </c>
      <c r="H30" s="54" t="s">
        <v>83</v>
      </c>
      <c r="I30" s="55"/>
    </row>
    <row r="31" ht="38" customHeight="1" spans="1:9">
      <c r="A31" s="6">
        <v>3.5</v>
      </c>
      <c r="B31" s="52" t="s">
        <v>84</v>
      </c>
      <c r="C31" s="52">
        <v>430.81</v>
      </c>
      <c r="D31" s="58">
        <v>214.45</v>
      </c>
      <c r="E31" s="52">
        <f t="shared" si="0"/>
        <v>-216.36</v>
      </c>
      <c r="F31" s="33">
        <f t="shared" si="1"/>
        <v>-0.021636</v>
      </c>
      <c r="G31" s="92"/>
      <c r="H31" s="52"/>
      <c r="I31" s="14"/>
    </row>
    <row r="32" ht="38" customHeight="1" spans="1:9">
      <c r="A32" s="6">
        <v>4</v>
      </c>
      <c r="B32" s="52" t="s">
        <v>85</v>
      </c>
      <c r="C32" s="52">
        <f>SUM(C33:C37)</f>
        <v>103817.66</v>
      </c>
      <c r="D32" s="53">
        <f>SUM(D33:D37)</f>
        <v>73476.61</v>
      </c>
      <c r="E32" s="52">
        <f t="shared" si="0"/>
        <v>-30341.05</v>
      </c>
      <c r="F32" s="33">
        <f t="shared" si="1"/>
        <v>-3.034105</v>
      </c>
      <c r="G32" s="92"/>
      <c r="H32" s="52"/>
      <c r="I32" s="14"/>
    </row>
    <row r="33" ht="38" customHeight="1" spans="1:9">
      <c r="A33" s="6">
        <v>4.1</v>
      </c>
      <c r="B33" s="52" t="s">
        <v>86</v>
      </c>
      <c r="C33" s="52">
        <v>68858.94</v>
      </c>
      <c r="D33" s="58">
        <v>40212.56</v>
      </c>
      <c r="E33" s="52">
        <f t="shared" si="0"/>
        <v>-28646.38</v>
      </c>
      <c r="F33" s="33">
        <f t="shared" si="1"/>
        <v>-2.864638</v>
      </c>
      <c r="G33" s="90" t="s">
        <v>87</v>
      </c>
      <c r="H33" s="51" t="s">
        <v>87</v>
      </c>
      <c r="I33" s="56"/>
    </row>
    <row r="34" ht="38" customHeight="1" spans="1:9">
      <c r="A34" s="6">
        <v>4.2</v>
      </c>
      <c r="B34" s="52" t="s">
        <v>88</v>
      </c>
      <c r="C34" s="52">
        <v>13546.41</v>
      </c>
      <c r="D34" s="58">
        <v>16452.69</v>
      </c>
      <c r="E34" s="52">
        <f t="shared" si="0"/>
        <v>2906.28</v>
      </c>
      <c r="F34" s="33">
        <f t="shared" si="1"/>
        <v>0.290628</v>
      </c>
      <c r="G34" s="91" t="s">
        <v>89</v>
      </c>
      <c r="H34" s="54" t="s">
        <v>89</v>
      </c>
      <c r="I34" s="55"/>
    </row>
    <row r="35" ht="38" customHeight="1" spans="1:9">
      <c r="A35" s="6">
        <v>4.3</v>
      </c>
      <c r="B35" s="52" t="s">
        <v>90</v>
      </c>
      <c r="C35" s="52">
        <v>3142.97</v>
      </c>
      <c r="D35" s="58">
        <v>2907.51</v>
      </c>
      <c r="E35" s="52">
        <f t="shared" si="0"/>
        <v>-235.46</v>
      </c>
      <c r="F35" s="33">
        <f t="shared" si="1"/>
        <v>-0.023546</v>
      </c>
      <c r="G35" s="92"/>
      <c r="H35" s="52"/>
      <c r="I35" s="14"/>
    </row>
    <row r="36" ht="38" customHeight="1" spans="1:9">
      <c r="A36" s="6">
        <v>4.4</v>
      </c>
      <c r="B36" s="52" t="s">
        <v>91</v>
      </c>
      <c r="C36" s="52">
        <v>17838.53</v>
      </c>
      <c r="D36" s="58">
        <v>13689.4</v>
      </c>
      <c r="E36" s="52">
        <f t="shared" si="0"/>
        <v>-4149.13</v>
      </c>
      <c r="F36" s="33">
        <f t="shared" si="1"/>
        <v>-0.414913</v>
      </c>
      <c r="G36" s="91" t="s">
        <v>92</v>
      </c>
      <c r="H36" s="54" t="s">
        <v>92</v>
      </c>
      <c r="I36" s="55"/>
    </row>
    <row r="37" ht="36" customHeight="1" spans="1:9">
      <c r="A37" s="6">
        <v>4.5</v>
      </c>
      <c r="B37" s="52" t="s">
        <v>93</v>
      </c>
      <c r="C37" s="52">
        <v>430.81</v>
      </c>
      <c r="D37" s="58">
        <v>214.45</v>
      </c>
      <c r="E37" s="52">
        <f t="shared" si="0"/>
        <v>-216.36</v>
      </c>
      <c r="F37" s="33">
        <f t="shared" si="1"/>
        <v>-0.021636</v>
      </c>
      <c r="G37" s="92"/>
      <c r="H37" s="52"/>
      <c r="I37" s="14"/>
    </row>
    <row r="38" ht="36" customHeight="1" spans="1:9">
      <c r="A38" s="6">
        <v>5</v>
      </c>
      <c r="B38" s="52" t="s">
        <v>94</v>
      </c>
      <c r="C38" s="52">
        <f>SUM(C39:C43)</f>
        <v>105800.45</v>
      </c>
      <c r="D38" s="53">
        <f>SUM(D39:D43)</f>
        <v>72694.07</v>
      </c>
      <c r="E38" s="52">
        <f t="shared" si="0"/>
        <v>-33106.38</v>
      </c>
      <c r="F38" s="33">
        <f t="shared" si="1"/>
        <v>-3.310638</v>
      </c>
      <c r="G38" s="92"/>
      <c r="H38" s="52"/>
      <c r="I38" s="14"/>
    </row>
    <row r="39" ht="36" customHeight="1" spans="1:9">
      <c r="A39" s="6">
        <v>5.1</v>
      </c>
      <c r="B39" s="52" t="s">
        <v>95</v>
      </c>
      <c r="C39" s="52">
        <v>67869.37</v>
      </c>
      <c r="D39" s="58">
        <v>38461.39</v>
      </c>
      <c r="E39" s="52">
        <f t="shared" si="0"/>
        <v>-29407.98</v>
      </c>
      <c r="F39" s="33">
        <f t="shared" si="1"/>
        <v>-2.940798</v>
      </c>
      <c r="G39" s="90" t="s">
        <v>96</v>
      </c>
      <c r="H39" s="51" t="s">
        <v>96</v>
      </c>
      <c r="I39" s="56"/>
    </row>
    <row r="40" ht="36" customHeight="1" spans="1:9">
      <c r="A40" s="6">
        <v>5.2</v>
      </c>
      <c r="B40" s="52" t="s">
        <v>97</v>
      </c>
      <c r="C40" s="52">
        <v>13676.11</v>
      </c>
      <c r="D40" s="58">
        <v>17289.3</v>
      </c>
      <c r="E40" s="52">
        <f t="shared" si="0"/>
        <v>3613.19</v>
      </c>
      <c r="F40" s="33">
        <f t="shared" si="1"/>
        <v>0.361319</v>
      </c>
      <c r="G40" s="91" t="s">
        <v>98</v>
      </c>
      <c r="H40" s="54" t="s">
        <v>98</v>
      </c>
      <c r="I40" s="55"/>
    </row>
    <row r="41" ht="36" customHeight="1" spans="1:9">
      <c r="A41" s="6">
        <v>5.3</v>
      </c>
      <c r="B41" s="52" t="s">
        <v>99</v>
      </c>
      <c r="C41" s="52">
        <v>3142.97</v>
      </c>
      <c r="D41" s="59">
        <v>2907.51</v>
      </c>
      <c r="E41" s="52">
        <f t="shared" si="0"/>
        <v>-235.46</v>
      </c>
      <c r="F41" s="33">
        <f t="shared" si="1"/>
        <v>-0.023546</v>
      </c>
      <c r="G41" s="92"/>
      <c r="H41" s="52"/>
      <c r="I41" s="14"/>
    </row>
    <row r="42" ht="36" customHeight="1" spans="1:9">
      <c r="A42" s="6">
        <v>5.4</v>
      </c>
      <c r="B42" s="52" t="s">
        <v>100</v>
      </c>
      <c r="C42" s="60">
        <v>20681.19</v>
      </c>
      <c r="D42" s="61">
        <v>13821.42</v>
      </c>
      <c r="E42" s="62">
        <f t="shared" si="0"/>
        <v>-6859.77</v>
      </c>
      <c r="F42" s="33">
        <f t="shared" si="1"/>
        <v>-0.685977</v>
      </c>
      <c r="G42" s="91" t="s">
        <v>101</v>
      </c>
      <c r="H42" s="54" t="s">
        <v>101</v>
      </c>
      <c r="I42" s="55"/>
    </row>
    <row r="43" ht="36" customHeight="1" spans="1:9">
      <c r="A43" s="6">
        <v>5.5</v>
      </c>
      <c r="B43" s="52" t="s">
        <v>102</v>
      </c>
      <c r="C43" s="60">
        <v>430.81</v>
      </c>
      <c r="D43" s="53">
        <v>214.45</v>
      </c>
      <c r="E43" s="62">
        <f t="shared" si="0"/>
        <v>-216.36</v>
      </c>
      <c r="F43" s="33">
        <f t="shared" si="1"/>
        <v>-0.021636</v>
      </c>
      <c r="G43" s="92"/>
      <c r="H43" s="52"/>
      <c r="I43" s="14"/>
    </row>
    <row r="44" ht="36" customHeight="1" spans="1:9">
      <c r="A44" s="6">
        <v>6</v>
      </c>
      <c r="B44" s="52" t="s">
        <v>103</v>
      </c>
      <c r="C44" s="52">
        <f>SUM(C45:C50)</f>
        <v>257973.28</v>
      </c>
      <c r="D44" s="94">
        <f>SUM(D45:D50)</f>
        <v>179405.57</v>
      </c>
      <c r="E44" s="52">
        <f t="shared" si="0"/>
        <v>-78567.71</v>
      </c>
      <c r="F44" s="33">
        <f t="shared" si="1"/>
        <v>-7.856771</v>
      </c>
      <c r="G44" s="93"/>
      <c r="H44" s="43"/>
      <c r="I44" s="57"/>
    </row>
    <row r="45" ht="36" customHeight="1" spans="1:9">
      <c r="A45" s="6">
        <v>6.1</v>
      </c>
      <c r="B45" s="52" t="s">
        <v>104</v>
      </c>
      <c r="C45" s="52">
        <v>131844.68</v>
      </c>
      <c r="D45" s="58">
        <v>57555.69</v>
      </c>
      <c r="E45" s="52">
        <f t="shared" si="0"/>
        <v>-74288.99</v>
      </c>
      <c r="F45" s="33">
        <f t="shared" si="1"/>
        <v>-7.428899</v>
      </c>
      <c r="G45" s="90" t="s">
        <v>105</v>
      </c>
      <c r="H45" s="51" t="s">
        <v>105</v>
      </c>
      <c r="I45" s="56"/>
    </row>
    <row r="46" customFormat="1" ht="36" customHeight="1" spans="1:9">
      <c r="A46" s="6">
        <v>6.2</v>
      </c>
      <c r="B46" s="52" t="s">
        <v>106</v>
      </c>
      <c r="C46" s="52">
        <v>64050.2</v>
      </c>
      <c r="D46" s="58">
        <v>81275.66</v>
      </c>
      <c r="E46" s="52">
        <f t="shared" si="0"/>
        <v>17225.46</v>
      </c>
      <c r="F46" s="33">
        <f t="shared" si="1"/>
        <v>1.722546</v>
      </c>
      <c r="G46" s="92"/>
      <c r="H46" s="52"/>
      <c r="I46" s="14"/>
    </row>
    <row r="47" customFormat="1" ht="36" customHeight="1" spans="1:9">
      <c r="A47" s="6">
        <v>6.3</v>
      </c>
      <c r="B47" s="52" t="s">
        <v>107</v>
      </c>
      <c r="C47" s="52">
        <v>9144.11</v>
      </c>
      <c r="D47" s="58">
        <v>15811.08</v>
      </c>
      <c r="E47" s="52">
        <f t="shared" si="0"/>
        <v>6666.97</v>
      </c>
      <c r="F47" s="33">
        <f t="shared" si="1"/>
        <v>0.666697</v>
      </c>
      <c r="G47" s="92"/>
      <c r="H47" s="52"/>
      <c r="I47" s="14"/>
    </row>
    <row r="48" customFormat="1" ht="36" customHeight="1" spans="1:9">
      <c r="A48" s="6">
        <v>6.4</v>
      </c>
      <c r="B48" s="52" t="s">
        <v>108</v>
      </c>
      <c r="C48" s="52">
        <v>40748.43</v>
      </c>
      <c r="D48" s="58">
        <v>13840.28</v>
      </c>
      <c r="E48" s="52">
        <f t="shared" si="0"/>
        <v>-26908.15</v>
      </c>
      <c r="F48" s="33">
        <f t="shared" si="1"/>
        <v>-2.690815</v>
      </c>
      <c r="G48" s="91" t="s">
        <v>109</v>
      </c>
      <c r="H48" s="54" t="s">
        <v>109</v>
      </c>
      <c r="I48" s="55"/>
    </row>
    <row r="49" customFormat="1" ht="36" customHeight="1" spans="1:9">
      <c r="A49" s="6">
        <v>6.5</v>
      </c>
      <c r="B49" s="52" t="s">
        <v>110</v>
      </c>
      <c r="C49" s="52">
        <v>11755.05</v>
      </c>
      <c r="D49" s="58">
        <v>10708.41</v>
      </c>
      <c r="E49" s="52">
        <f t="shared" si="0"/>
        <v>-1046.64</v>
      </c>
      <c r="F49" s="33">
        <f t="shared" si="1"/>
        <v>-0.104664</v>
      </c>
      <c r="G49" s="92"/>
      <c r="H49" s="52"/>
      <c r="I49" s="14"/>
    </row>
    <row r="50" customFormat="1" ht="36" customHeight="1" spans="1:9">
      <c r="A50" s="6">
        <v>6.6</v>
      </c>
      <c r="B50" s="52" t="s">
        <v>111</v>
      </c>
      <c r="C50" s="52">
        <v>430.81</v>
      </c>
      <c r="D50" s="58">
        <v>214.45</v>
      </c>
      <c r="E50" s="52">
        <f t="shared" si="0"/>
        <v>-216.36</v>
      </c>
      <c r="F50" s="33">
        <f t="shared" si="1"/>
        <v>-0.021636</v>
      </c>
      <c r="G50" s="92"/>
      <c r="H50" s="52"/>
      <c r="I50" s="14"/>
    </row>
    <row r="51" customFormat="1" ht="36" customHeight="1" spans="1:9">
      <c r="A51" s="6">
        <v>7</v>
      </c>
      <c r="B51" s="52" t="s">
        <v>112</v>
      </c>
      <c r="C51" s="52">
        <f>SUM(C52:C60)</f>
        <v>23744636.49</v>
      </c>
      <c r="D51" s="53">
        <f>SUM(D52:D60)</f>
        <v>22400587.64</v>
      </c>
      <c r="E51" s="52">
        <f t="shared" si="0"/>
        <v>-1344048.85</v>
      </c>
      <c r="F51" s="33">
        <f t="shared" ref="F51:F72" si="2">E51/10000</f>
        <v>-134.404885</v>
      </c>
      <c r="G51" s="93"/>
      <c r="H51" s="43"/>
      <c r="I51" s="57"/>
    </row>
    <row r="52" customFormat="1" ht="123" customHeight="1" spans="1:9">
      <c r="A52" s="6">
        <v>7.1</v>
      </c>
      <c r="B52" s="52" t="s">
        <v>113</v>
      </c>
      <c r="C52" s="52">
        <v>5510195.95</v>
      </c>
      <c r="D52" s="58">
        <v>6284385.74</v>
      </c>
      <c r="E52" s="52">
        <f t="shared" si="0"/>
        <v>774189.79</v>
      </c>
      <c r="F52" s="33">
        <f t="shared" si="2"/>
        <v>77.418979</v>
      </c>
      <c r="G52" s="90" t="s">
        <v>114</v>
      </c>
      <c r="H52" s="51" t="s">
        <v>114</v>
      </c>
      <c r="I52" s="56"/>
    </row>
    <row r="53" customFormat="1" ht="36" customHeight="1" spans="1:9">
      <c r="A53" s="6">
        <v>7.2</v>
      </c>
      <c r="B53" s="52" t="s">
        <v>115</v>
      </c>
      <c r="C53" s="52">
        <v>449618.3</v>
      </c>
      <c r="D53" s="58">
        <v>316892.6</v>
      </c>
      <c r="E53" s="52">
        <f t="shared" si="0"/>
        <v>-132725.7</v>
      </c>
      <c r="F53" s="33">
        <f t="shared" si="2"/>
        <v>-13.27257</v>
      </c>
      <c r="G53" s="90" t="s">
        <v>116</v>
      </c>
      <c r="H53" s="51" t="s">
        <v>116</v>
      </c>
      <c r="I53" s="56"/>
    </row>
    <row r="54" customFormat="1" ht="36" customHeight="1" spans="1:9">
      <c r="A54" s="6">
        <v>7.3</v>
      </c>
      <c r="B54" s="52" t="s">
        <v>117</v>
      </c>
      <c r="C54" s="52">
        <v>522465.7</v>
      </c>
      <c r="D54" s="58">
        <v>501036.95</v>
      </c>
      <c r="E54" s="52">
        <f t="shared" si="0"/>
        <v>-21428.75</v>
      </c>
      <c r="F54" s="33">
        <f t="shared" si="2"/>
        <v>-2.142875</v>
      </c>
      <c r="G54" s="90" t="s">
        <v>118</v>
      </c>
      <c r="H54" s="51" t="s">
        <v>118</v>
      </c>
      <c r="I54" s="56"/>
    </row>
    <row r="55" customFormat="1" ht="108" customHeight="1" spans="1:9">
      <c r="A55" s="6">
        <v>7.4</v>
      </c>
      <c r="B55" s="52" t="s">
        <v>119</v>
      </c>
      <c r="C55" s="52">
        <v>13210737.73</v>
      </c>
      <c r="D55" s="58">
        <v>11811366.04</v>
      </c>
      <c r="E55" s="52">
        <f t="shared" si="0"/>
        <v>-1399371.69</v>
      </c>
      <c r="F55" s="33">
        <f t="shared" si="2"/>
        <v>-139.937169</v>
      </c>
      <c r="G55" s="90" t="s">
        <v>120</v>
      </c>
      <c r="H55" s="51" t="s">
        <v>120</v>
      </c>
      <c r="I55" s="56"/>
    </row>
    <row r="56" customFormat="1" ht="76" customHeight="1" spans="1:9">
      <c r="A56" s="6">
        <v>7.5</v>
      </c>
      <c r="B56" s="52" t="s">
        <v>121</v>
      </c>
      <c r="C56" s="52">
        <v>2544339.16</v>
      </c>
      <c r="D56" s="58">
        <v>2152560.47</v>
      </c>
      <c r="E56" s="52">
        <f t="shared" si="0"/>
        <v>-391778.69</v>
      </c>
      <c r="F56" s="33">
        <f t="shared" si="2"/>
        <v>-39.177869</v>
      </c>
      <c r="G56" s="90" t="s">
        <v>122</v>
      </c>
      <c r="H56" s="51" t="s">
        <v>122</v>
      </c>
      <c r="I56" s="56"/>
    </row>
    <row r="57" customFormat="1" ht="36" customHeight="1" spans="1:9">
      <c r="A57" s="6">
        <v>7.6</v>
      </c>
      <c r="B57" s="52" t="s">
        <v>123</v>
      </c>
      <c r="C57" s="52">
        <v>27884.88</v>
      </c>
      <c r="D57" s="58">
        <v>17522.9</v>
      </c>
      <c r="E57" s="52">
        <f t="shared" si="0"/>
        <v>-10361.98</v>
      </c>
      <c r="F57" s="33">
        <f t="shared" si="2"/>
        <v>-1.036198</v>
      </c>
      <c r="G57" s="92"/>
      <c r="H57" s="52"/>
      <c r="I57" s="14"/>
    </row>
    <row r="58" customFormat="1" ht="58" customHeight="1" spans="1:9">
      <c r="A58" s="6">
        <v>7.7</v>
      </c>
      <c r="B58" s="52" t="s">
        <v>124</v>
      </c>
      <c r="C58" s="52">
        <v>409743.85</v>
      </c>
      <c r="D58" s="58">
        <v>370681.97</v>
      </c>
      <c r="E58" s="52">
        <f t="shared" si="0"/>
        <v>-39061.88</v>
      </c>
      <c r="F58" s="33">
        <f t="shared" si="2"/>
        <v>-3.906188</v>
      </c>
      <c r="G58" s="90" t="s">
        <v>125</v>
      </c>
      <c r="H58" s="51" t="s">
        <v>125</v>
      </c>
      <c r="I58" s="56"/>
    </row>
    <row r="59" customFormat="1" ht="36" customHeight="1" spans="1:9">
      <c r="A59" s="6">
        <v>7.8</v>
      </c>
      <c r="B59" s="52" t="s">
        <v>126</v>
      </c>
      <c r="C59" s="52">
        <v>16917.69</v>
      </c>
      <c r="D59" s="58">
        <v>21143.55</v>
      </c>
      <c r="E59" s="52">
        <f t="shared" si="0"/>
        <v>4225.86</v>
      </c>
      <c r="F59" s="33">
        <f t="shared" si="2"/>
        <v>0.422586</v>
      </c>
      <c r="G59" s="92"/>
      <c r="H59" s="52"/>
      <c r="I59" s="14"/>
    </row>
    <row r="60" customFormat="1" ht="87" customHeight="1" spans="1:9">
      <c r="A60" s="6">
        <v>7.9</v>
      </c>
      <c r="B60" s="52" t="s">
        <v>127</v>
      </c>
      <c r="C60" s="52">
        <v>1052733.23</v>
      </c>
      <c r="D60" s="58">
        <v>924997.42</v>
      </c>
      <c r="E60" s="52">
        <f t="shared" si="0"/>
        <v>-127735.81</v>
      </c>
      <c r="F60" s="33">
        <f t="shared" si="2"/>
        <v>-12.773581</v>
      </c>
      <c r="G60" s="90" t="s">
        <v>128</v>
      </c>
      <c r="H60" s="51" t="s">
        <v>128</v>
      </c>
      <c r="I60" s="56"/>
    </row>
    <row r="61" customFormat="1" ht="36" customHeight="1" spans="1:9">
      <c r="A61" s="6">
        <v>8</v>
      </c>
      <c r="B61" s="52" t="s">
        <v>129</v>
      </c>
      <c r="C61" s="52">
        <f>C62</f>
        <v>2504213.55</v>
      </c>
      <c r="D61" s="53">
        <f>D62</f>
        <v>2553250.88</v>
      </c>
      <c r="E61" s="52">
        <f t="shared" si="0"/>
        <v>49037.3300000001</v>
      </c>
      <c r="F61" s="33">
        <f t="shared" si="2"/>
        <v>4.90373300000001</v>
      </c>
      <c r="G61" s="90" t="s">
        <v>154</v>
      </c>
      <c r="H61" s="51" t="s">
        <v>154</v>
      </c>
      <c r="I61" s="56"/>
    </row>
    <row r="62" customFormat="1" ht="36" customHeight="1" spans="1:11">
      <c r="A62" s="6">
        <v>8.1</v>
      </c>
      <c r="B62" s="52" t="s">
        <v>130</v>
      </c>
      <c r="C62" s="52">
        <v>2504213.55</v>
      </c>
      <c r="D62" s="53">
        <v>2553250.88</v>
      </c>
      <c r="E62" s="52">
        <f t="shared" si="0"/>
        <v>49037.3300000001</v>
      </c>
      <c r="F62" s="33">
        <f t="shared" si="2"/>
        <v>4.90373300000001</v>
      </c>
      <c r="G62" s="92"/>
      <c r="H62" s="52"/>
      <c r="I62" s="14"/>
      <c r="K62" s="1">
        <f>D62-上次发出稿!D80</f>
        <v>-25621.2000000002</v>
      </c>
    </row>
    <row r="63" customFormat="1" ht="36" customHeight="1" spans="1:12">
      <c r="A63" s="6">
        <v>9</v>
      </c>
      <c r="B63" s="52" t="s">
        <v>131</v>
      </c>
      <c r="C63" s="52">
        <f>SUM(C64:C68)</f>
        <v>8799715.61</v>
      </c>
      <c r="D63" s="53">
        <f>SUM(D64:D68)</f>
        <v>9419050.81</v>
      </c>
      <c r="E63" s="52">
        <f t="shared" si="0"/>
        <v>619335.200000001</v>
      </c>
      <c r="F63" s="33">
        <f t="shared" si="2"/>
        <v>61.9335200000001</v>
      </c>
      <c r="G63" s="93"/>
      <c r="H63" s="43"/>
      <c r="I63" s="57"/>
      <c r="K63">
        <f>260000-26000</f>
        <v>234000</v>
      </c>
      <c r="L63">
        <v>234000</v>
      </c>
    </row>
    <row r="64" customFormat="1" ht="36" customHeight="1" spans="1:12">
      <c r="A64" s="6">
        <v>9.1</v>
      </c>
      <c r="B64" s="51" t="s">
        <v>132</v>
      </c>
      <c r="C64" s="52">
        <v>5061584.67</v>
      </c>
      <c r="D64" s="58">
        <f>3809659</f>
        <v>3809659</v>
      </c>
      <c r="E64" s="52">
        <f t="shared" si="0"/>
        <v>-1251925.67</v>
      </c>
      <c r="F64" s="7">
        <f t="shared" si="2"/>
        <v>-125.192567</v>
      </c>
      <c r="G64" s="90" t="s">
        <v>167</v>
      </c>
      <c r="H64" s="51" t="s">
        <v>167</v>
      </c>
      <c r="I64" s="56"/>
      <c r="L64">
        <f>28*5%</f>
        <v>1.4</v>
      </c>
    </row>
    <row r="65" customFormat="1" ht="36" customHeight="1" spans="1:10">
      <c r="A65" s="6">
        <v>9.2</v>
      </c>
      <c r="B65" s="52" t="s">
        <v>134</v>
      </c>
      <c r="C65" s="52">
        <v>2067276.06</v>
      </c>
      <c r="D65" s="58">
        <v>3798265.23</v>
      </c>
      <c r="E65" s="52">
        <f t="shared" si="0"/>
        <v>1730989.17</v>
      </c>
      <c r="F65" s="7">
        <f t="shared" si="2"/>
        <v>173.098917</v>
      </c>
      <c r="G65" s="90" t="s">
        <v>168</v>
      </c>
      <c r="H65" s="51" t="s">
        <v>168</v>
      </c>
      <c r="I65" s="56"/>
      <c r="J65">
        <v>340176066.02</v>
      </c>
    </row>
    <row r="66" customFormat="1" ht="36" customHeight="1" spans="1:12">
      <c r="A66" s="6">
        <v>9.3</v>
      </c>
      <c r="B66" s="52" t="s">
        <v>136</v>
      </c>
      <c r="C66" s="52">
        <v>1374198.21</v>
      </c>
      <c r="D66" s="53">
        <v>1472808</v>
      </c>
      <c r="E66" s="52">
        <f t="shared" si="0"/>
        <v>98609.79</v>
      </c>
      <c r="F66" s="7">
        <f t="shared" si="2"/>
        <v>9.860979</v>
      </c>
      <c r="G66" s="90" t="s">
        <v>169</v>
      </c>
      <c r="H66" s="51" t="s">
        <v>169</v>
      </c>
      <c r="I66" s="56"/>
      <c r="L66">
        <v>34889802.83</v>
      </c>
    </row>
    <row r="67" customFormat="1" ht="36" customHeight="1" spans="1:12">
      <c r="A67" s="6">
        <v>9.4</v>
      </c>
      <c r="B67" s="52" t="s">
        <v>138</v>
      </c>
      <c r="C67" s="52">
        <v>98727.19</v>
      </c>
      <c r="D67" s="58">
        <v>114969.04</v>
      </c>
      <c r="E67" s="52">
        <f t="shared" si="0"/>
        <v>16241.85</v>
      </c>
      <c r="F67" s="7">
        <f t="shared" si="2"/>
        <v>1.624185</v>
      </c>
      <c r="G67" s="90"/>
      <c r="H67" s="51"/>
      <c r="I67" s="56"/>
      <c r="L67">
        <v>19979785.96</v>
      </c>
    </row>
    <row r="68" customFormat="1" ht="36" customHeight="1" spans="1:12">
      <c r="A68" s="6">
        <v>9.5</v>
      </c>
      <c r="B68" s="52" t="s">
        <v>138</v>
      </c>
      <c r="C68" s="52">
        <v>197929.48</v>
      </c>
      <c r="D68" s="58">
        <v>223349.54</v>
      </c>
      <c r="E68" s="52">
        <f t="shared" si="0"/>
        <v>25420.06</v>
      </c>
      <c r="F68" s="7">
        <f t="shared" si="2"/>
        <v>2.542006</v>
      </c>
      <c r="G68" s="90"/>
      <c r="H68" s="51"/>
      <c r="I68" s="56"/>
      <c r="L68">
        <f>L66-L67</f>
        <v>14910016.87</v>
      </c>
    </row>
    <row r="69" s="1" customFormat="1" ht="29" customHeight="1" spans="1:12">
      <c r="A69" s="95" t="s">
        <v>139</v>
      </c>
      <c r="B69" s="96" t="s">
        <v>140</v>
      </c>
      <c r="C69" s="97">
        <f>C70</f>
        <v>5951024</v>
      </c>
      <c r="D69" s="98">
        <f>D70</f>
        <v>2676805.35</v>
      </c>
      <c r="E69" s="81">
        <f t="shared" si="0"/>
        <v>-3274218.65</v>
      </c>
      <c r="F69" s="81">
        <f t="shared" si="2"/>
        <v>-327.421865</v>
      </c>
      <c r="G69" s="99" t="s">
        <v>155</v>
      </c>
      <c r="H69" s="66" t="s">
        <v>155</v>
      </c>
      <c r="I69" s="20">
        <f>E69+I12+I7</f>
        <v>14608810.19</v>
      </c>
      <c r="J69" s="1">
        <v>19738345.72</v>
      </c>
      <c r="L69" s="1">
        <v>14806315.66</v>
      </c>
    </row>
    <row r="70" ht="29" customHeight="1" spans="1:12">
      <c r="A70" s="25">
        <v>10</v>
      </c>
      <c r="B70" s="26" t="s">
        <v>141</v>
      </c>
      <c r="C70" s="25">
        <v>5951024</v>
      </c>
      <c r="D70" s="27">
        <v>2676805.35</v>
      </c>
      <c r="E70" s="27">
        <f t="shared" si="0"/>
        <v>-3274218.65</v>
      </c>
      <c r="F70" s="27">
        <f t="shared" si="2"/>
        <v>-327.421865</v>
      </c>
      <c r="G70" s="100" t="s">
        <v>170</v>
      </c>
      <c r="H70" s="5" t="s">
        <v>170</v>
      </c>
      <c r="I70" s="70">
        <f>I13+I6+E71</f>
        <v>-32553743.5536068</v>
      </c>
      <c r="J70">
        <v>-33080266.5797724</v>
      </c>
      <c r="K70" s="1">
        <f>D70-上次发出稿!D88</f>
        <v>-721452.1</v>
      </c>
      <c r="L70">
        <v>-32547004.6669704</v>
      </c>
    </row>
    <row r="71" s="11" customFormat="1" ht="27" customHeight="1" spans="1:9">
      <c r="A71" s="25" t="s">
        <v>143</v>
      </c>
      <c r="B71" s="26" t="s">
        <v>144</v>
      </c>
      <c r="C71" s="25">
        <f>(C70+C11+C5)*3%</f>
        <v>10424751.7131</v>
      </c>
      <c r="D71" s="27">
        <f>(D70+D11+D5)*3%</f>
        <v>9902083.7510532</v>
      </c>
      <c r="E71" s="25">
        <f>(E70+E11+E5)*3%</f>
        <v>-522667.9620468</v>
      </c>
      <c r="F71" s="27">
        <f t="shared" si="2"/>
        <v>-52.26679620468</v>
      </c>
      <c r="G71" s="29"/>
      <c r="H71" s="29"/>
      <c r="I71" s="71"/>
    </row>
    <row r="72" s="11" customFormat="1" ht="27" customHeight="1" spans="1:10">
      <c r="A72" s="25"/>
      <c r="B72" s="25" t="s">
        <v>145</v>
      </c>
      <c r="C72" s="27">
        <f>C70+C11+C5+C71</f>
        <v>357916475.4831</v>
      </c>
      <c r="D72" s="27">
        <f>D70+D11+D5+D71</f>
        <v>339971542.119493</v>
      </c>
      <c r="E72" s="27">
        <f>E70+E11+E5+E71</f>
        <v>-17944933.3636068</v>
      </c>
      <c r="F72" s="27">
        <f t="shared" si="2"/>
        <v>-1794.49333636068</v>
      </c>
      <c r="G72" s="29"/>
      <c r="H72" s="29"/>
      <c r="I72" s="71"/>
      <c r="J72" s="11">
        <v>340176066.019448</v>
      </c>
    </row>
    <row r="73" ht="36" customHeight="1" spans="10:10">
      <c r="J73">
        <v>14608810.19</v>
      </c>
    </row>
    <row r="74" ht="36" customHeight="1" spans="3:11">
      <c r="C74">
        <v>5951024</v>
      </c>
      <c r="D74" s="38">
        <v>8997866.44</v>
      </c>
      <c r="F74" s="15">
        <f>F72*10000</f>
        <v>-17944933.3636068</v>
      </c>
      <c r="G74" s="17">
        <v>-18933901.2473856</v>
      </c>
      <c r="J74">
        <v>-32553743.5536068</v>
      </c>
      <c r="K74">
        <v>340175786.483</v>
      </c>
    </row>
    <row r="75" ht="36" customHeight="1" spans="5:7">
      <c r="E75">
        <v>-17944933.3636068</v>
      </c>
      <c r="F75" s="15">
        <v>-17740689.0069704</v>
      </c>
      <c r="G75" s="17">
        <f>F74/C72</f>
        <v>-0.0501372096363698</v>
      </c>
    </row>
    <row r="76" ht="36" customHeight="1" spans="4:4">
      <c r="D76" s="38">
        <v>339971542.12</v>
      </c>
    </row>
    <row r="77" ht="36" customHeight="1"/>
    <row r="78" ht="36" customHeight="1" spans="5:5">
      <c r="E78">
        <v>338982574.24</v>
      </c>
    </row>
    <row r="79" ht="36" customHeight="1"/>
    <row r="80" ht="36" customHeight="1"/>
    <row r="81" ht="36" customHeight="1"/>
    <row r="82" ht="36" customHeight="1"/>
    <row r="83" ht="36" customHeight="1"/>
    <row r="84" ht="36" customHeight="1"/>
    <row r="85" ht="36" customHeight="1"/>
    <row r="86" ht="36" customHeight="1"/>
    <row r="87" ht="36" customHeight="1"/>
    <row r="88" ht="36" customHeight="1"/>
    <row r="89" ht="36" customHeight="1"/>
    <row r="90" ht="36" customHeight="1"/>
    <row r="91" ht="36" customHeight="1"/>
  </sheetData>
  <autoFilter ref="A1:G78">
    <extLst/>
  </autoFilter>
  <mergeCells count="9">
    <mergeCell ref="A1:G1"/>
    <mergeCell ref="A2:D2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751388888888889" right="0.751388888888889" top="0.432638888888889" bottom="0.511805555555556" header="0.5" footer="0.275"/>
  <pageSetup paperSize="9" orientation="landscape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D21"/>
  <sheetViews>
    <sheetView tabSelected="1" workbookViewId="0">
      <pane ySplit="4" topLeftCell="A5" activePane="bottomLeft" state="frozen"/>
      <selection/>
      <selection pane="bottomLeft" activeCell="D11" sqref="D11"/>
    </sheetView>
  </sheetViews>
  <sheetFormatPr defaultColWidth="9" defaultRowHeight="14" outlineLevelCol="3"/>
  <cols>
    <col min="1" max="1" width="7.25454545454545" style="12" customWidth="1"/>
    <col min="2" max="2" width="31.6272727272727" customWidth="1"/>
    <col min="3" max="3" width="19.6272727272727" style="38" customWidth="1"/>
    <col min="4" max="4" width="17.7545454545455" style="17" customWidth="1"/>
  </cols>
  <sheetData>
    <row r="1" ht="25.5" spans="1:4">
      <c r="A1" s="18" t="s">
        <v>0</v>
      </c>
      <c r="B1" s="18"/>
      <c r="C1" s="39"/>
      <c r="D1" s="19"/>
    </row>
    <row r="2" ht="33" customHeight="1" spans="1:4">
      <c r="A2" s="71" t="s">
        <v>171</v>
      </c>
      <c r="B2" s="71"/>
      <c r="C2" s="71"/>
      <c r="D2" s="71"/>
    </row>
    <row r="3" spans="1:4">
      <c r="A3" s="28" t="s">
        <v>2</v>
      </c>
      <c r="B3" s="28" t="s">
        <v>3</v>
      </c>
      <c r="C3" s="30" t="s">
        <v>172</v>
      </c>
      <c r="D3" s="28" t="s">
        <v>8</v>
      </c>
    </row>
    <row r="4" ht="18" customHeight="1" spans="1:4">
      <c r="A4" s="28"/>
      <c r="B4" s="28"/>
      <c r="C4" s="30"/>
      <c r="D4" s="28"/>
    </row>
    <row r="5" s="1" customFormat="1" ht="34" customHeight="1" spans="1:4">
      <c r="A5" s="28" t="s">
        <v>9</v>
      </c>
      <c r="B5" s="26" t="s">
        <v>10</v>
      </c>
      <c r="C5" s="27"/>
      <c r="D5" s="74"/>
    </row>
    <row r="6" s="1" customFormat="1" ht="34" customHeight="1" spans="1:4">
      <c r="A6" s="25">
        <v>1</v>
      </c>
      <c r="B6" s="26" t="s">
        <v>173</v>
      </c>
      <c r="C6" s="27"/>
      <c r="D6" s="74"/>
    </row>
    <row r="7" s="1" customFormat="1" ht="34" customHeight="1" spans="1:4">
      <c r="A7" s="25">
        <v>2</v>
      </c>
      <c r="B7" s="26" t="s">
        <v>20</v>
      </c>
      <c r="C7" s="27"/>
      <c r="D7" s="74"/>
    </row>
    <row r="8" s="1" customFormat="1" ht="34" customHeight="1" spans="1:4">
      <c r="A8" s="25">
        <v>3</v>
      </c>
      <c r="B8" s="26" t="s">
        <v>174</v>
      </c>
      <c r="C8" s="27"/>
      <c r="D8" s="74"/>
    </row>
    <row r="9" s="1" customFormat="1" ht="34" customHeight="1" spans="1:4">
      <c r="A9" s="25">
        <v>4</v>
      </c>
      <c r="B9" s="26" t="s">
        <v>129</v>
      </c>
      <c r="C9" s="27"/>
      <c r="D9" s="74"/>
    </row>
    <row r="10" customFormat="1" ht="34" customHeight="1" spans="1:4">
      <c r="A10" s="25" t="s">
        <v>48</v>
      </c>
      <c r="B10" s="52" t="s">
        <v>175</v>
      </c>
      <c r="C10" s="77"/>
      <c r="D10" s="88"/>
    </row>
    <row r="11" customFormat="1" ht="34" customHeight="1" spans="1:4">
      <c r="A11" s="25" t="s">
        <v>139</v>
      </c>
      <c r="B11" s="52" t="s">
        <v>176</v>
      </c>
      <c r="C11" s="77"/>
      <c r="D11" s="88"/>
    </row>
    <row r="12" s="11" customFormat="1" ht="34" customHeight="1" spans="1:4">
      <c r="A12" s="28" t="s">
        <v>177</v>
      </c>
      <c r="B12" s="28" t="s">
        <v>145</v>
      </c>
      <c r="C12" s="30"/>
      <c r="D12" s="29"/>
    </row>
    <row r="13" ht="36" customHeight="1"/>
    <row r="14" ht="36" customHeight="1"/>
    <row r="15" ht="36" customHeight="1"/>
    <row r="16" ht="36" customHeight="1"/>
    <row r="17" ht="36" customHeight="1"/>
    <row r="18" ht="36" customHeight="1"/>
    <row r="19" ht="36" customHeight="1"/>
    <row r="20" ht="36" customHeight="1"/>
    <row r="21" ht="36" customHeight="1"/>
  </sheetData>
  <mergeCells count="6">
    <mergeCell ref="A1:D1"/>
    <mergeCell ref="A2:D2"/>
    <mergeCell ref="A3:A4"/>
    <mergeCell ref="B3:B4"/>
    <mergeCell ref="C3:C4"/>
    <mergeCell ref="D3:D4"/>
  </mergeCells>
  <printOptions horizontalCentered="1"/>
  <pageMargins left="0.196527777777778" right="0.236111111111111" top="0.590277777777778" bottom="0.629861111111111" header="0.5" footer="0.393055555555556"/>
  <pageSetup paperSize="9" orientation="portrait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U100"/>
  <sheetViews>
    <sheetView workbookViewId="0">
      <pane ySplit="4" topLeftCell="A56" activePane="bottomLeft" state="frozen"/>
      <selection/>
      <selection pane="bottomLeft" activeCell="G72" sqref="G72"/>
    </sheetView>
  </sheetViews>
  <sheetFormatPr defaultColWidth="9" defaultRowHeight="14"/>
  <cols>
    <col min="1" max="1" width="6.75454545454545" style="12" customWidth="1"/>
    <col min="2" max="2" width="20.3727272727273" customWidth="1"/>
    <col min="3" max="3" width="14.6272727272727" customWidth="1"/>
    <col min="4" max="4" width="15.5" style="38" customWidth="1"/>
    <col min="5" max="5" width="15.6272727272727" customWidth="1"/>
    <col min="6" max="6" width="15.8727272727273" style="15" customWidth="1"/>
    <col min="7" max="10" width="43.6272727272727" style="17" customWidth="1"/>
    <col min="11" max="11" width="19.7545454545455" style="17" customWidth="1"/>
    <col min="12" max="12" width="17.1272727272727" customWidth="1"/>
    <col min="13" max="13" width="15.3727272727273"/>
    <col min="14" max="15" width="14.1272727272727"/>
    <col min="16" max="16" width="10.3727272727273"/>
    <col min="19" max="19" width="16.2545454545455" customWidth="1"/>
  </cols>
  <sheetData>
    <row r="1" ht="25.5" spans="1:11">
      <c r="A1" s="18" t="s">
        <v>156</v>
      </c>
      <c r="B1" s="18"/>
      <c r="C1" s="18"/>
      <c r="D1" s="39"/>
      <c r="E1" s="18"/>
      <c r="F1" s="21"/>
      <c r="G1" s="19"/>
      <c r="H1" s="19"/>
      <c r="I1" s="19"/>
      <c r="J1" s="19"/>
      <c r="K1" s="19"/>
    </row>
    <row r="2" ht="16" customHeight="1" spans="1:11">
      <c r="A2" s="71" t="s">
        <v>178</v>
      </c>
      <c r="B2" s="72"/>
      <c r="C2" s="72"/>
      <c r="D2" s="73"/>
      <c r="E2" s="22"/>
      <c r="F2" s="23"/>
      <c r="G2" s="22"/>
      <c r="H2" s="22"/>
      <c r="I2" s="22"/>
      <c r="J2" s="22"/>
      <c r="K2" s="22"/>
    </row>
    <row r="3" spans="1:11">
      <c r="A3" s="28" t="s">
        <v>2</v>
      </c>
      <c r="B3" s="28" t="s">
        <v>3</v>
      </c>
      <c r="C3" s="28" t="s">
        <v>157</v>
      </c>
      <c r="D3" s="30" t="s">
        <v>158</v>
      </c>
      <c r="E3" s="28" t="s">
        <v>6</v>
      </c>
      <c r="F3" s="30" t="s">
        <v>7</v>
      </c>
      <c r="G3" s="25" t="s">
        <v>8</v>
      </c>
      <c r="H3" s="40"/>
      <c r="I3" s="40"/>
      <c r="J3" s="40"/>
      <c r="K3" s="40"/>
    </row>
    <row r="4" spans="1:11">
      <c r="A4" s="28"/>
      <c r="B4" s="28"/>
      <c r="C4" s="28"/>
      <c r="D4" s="30"/>
      <c r="E4" s="28"/>
      <c r="F4" s="30"/>
      <c r="G4" s="25"/>
      <c r="H4" s="40"/>
      <c r="I4" s="40"/>
      <c r="J4" s="40"/>
      <c r="K4" s="40"/>
    </row>
    <row r="5" s="1" customFormat="1" ht="25" customHeight="1" spans="1:11">
      <c r="A5" s="28" t="s">
        <v>9</v>
      </c>
      <c r="B5" s="28" t="s">
        <v>10</v>
      </c>
      <c r="C5" s="28">
        <f>C6+C7+C8+C9+C10+C11+C12</f>
        <v>308726768.55</v>
      </c>
      <c r="D5" s="30">
        <f>D6+D7+D8+D9+D10+D11+D12</f>
        <v>298076216.88</v>
      </c>
      <c r="E5" s="4">
        <f>D5-C5</f>
        <v>-10650551.67</v>
      </c>
      <c r="F5" s="8">
        <f t="shared" ref="F5:F12" si="0">E5/10000</f>
        <v>-1065.055167</v>
      </c>
      <c r="G5" s="32"/>
      <c r="H5" s="32" t="s">
        <v>179</v>
      </c>
      <c r="I5" s="44"/>
      <c r="J5" s="44"/>
      <c r="K5" s="44"/>
    </row>
    <row r="6" s="1" customFormat="1" ht="42" customHeight="1" spans="1:21">
      <c r="A6" s="25">
        <v>1</v>
      </c>
      <c r="B6" s="26" t="s">
        <v>13</v>
      </c>
      <c r="C6" s="25">
        <v>10029515</v>
      </c>
      <c r="D6" s="27">
        <v>9109238.52</v>
      </c>
      <c r="E6" s="7">
        <f>D6-C6</f>
        <v>-920276.48</v>
      </c>
      <c r="F6" s="7">
        <f t="shared" si="0"/>
        <v>-92.027648</v>
      </c>
      <c r="G6" s="74" t="s">
        <v>180</v>
      </c>
      <c r="H6" s="34" t="s">
        <v>181</v>
      </c>
      <c r="I6" s="34">
        <f>IF(F6&gt;0,1,0)</f>
        <v>0</v>
      </c>
      <c r="J6" s="25" t="s">
        <v>18</v>
      </c>
      <c r="K6" s="1">
        <f>E6+E8+E9</f>
        <v>-22430662.69</v>
      </c>
      <c r="L6" s="1">
        <f>F6+F8+F9</f>
        <v>-2243.066269</v>
      </c>
      <c r="M6" s="1">
        <f>D6-上次发出稿!D6</f>
        <v>-660931.442120001</v>
      </c>
      <c r="N6" s="1" t="e">
        <f>D5+#REF!+#REF!</f>
        <v>#REF!</v>
      </c>
      <c r="O6" s="1" t="e">
        <f>N6-#REF!</f>
        <v>#REF!</v>
      </c>
      <c r="Q6" s="84" t="s">
        <v>182</v>
      </c>
      <c r="R6" s="85" t="s">
        <v>13</v>
      </c>
      <c r="S6" s="86">
        <v>9109238.52</v>
      </c>
      <c r="U6" s="1">
        <f>S6-D6</f>
        <v>0</v>
      </c>
    </row>
    <row r="7" s="1" customFormat="1" ht="25" customHeight="1" spans="1:21">
      <c r="A7" s="25">
        <v>2</v>
      </c>
      <c r="B7" s="26" t="s">
        <v>20</v>
      </c>
      <c r="C7" s="25">
        <v>16808890</v>
      </c>
      <c r="D7" s="27">
        <v>28887088.67</v>
      </c>
      <c r="E7" s="6">
        <f>D7-C7</f>
        <v>12078198.67</v>
      </c>
      <c r="F7" s="7">
        <f t="shared" si="0"/>
        <v>1207.819867</v>
      </c>
      <c r="G7" s="75" t="s">
        <v>183</v>
      </c>
      <c r="H7" s="25" t="s">
        <v>162</v>
      </c>
      <c r="I7" s="34">
        <f t="shared" ref="I7:I38" si="1">IF(F7&gt;0,1,0)</f>
        <v>1</v>
      </c>
      <c r="J7" s="40"/>
      <c r="K7" s="35">
        <f>E7+E10</f>
        <v>15005292.34</v>
      </c>
      <c r="L7" s="35">
        <f>F7+F10</f>
        <v>1500.529234</v>
      </c>
      <c r="M7" s="1">
        <f>D7-上次发出稿!D9</f>
        <v>10854542.64</v>
      </c>
      <c r="O7" s="1">
        <v>6686624.8</v>
      </c>
      <c r="Q7" s="84" t="s">
        <v>184</v>
      </c>
      <c r="R7" s="85" t="s">
        <v>20</v>
      </c>
      <c r="S7" s="86">
        <v>28887088.67</v>
      </c>
      <c r="U7" s="1">
        <f t="shared" ref="U7:U12" si="2">S7-D7</f>
        <v>0</v>
      </c>
    </row>
    <row r="8" s="1" customFormat="1" ht="25" customHeight="1" spans="1:21">
      <c r="A8" s="25">
        <v>3</v>
      </c>
      <c r="B8" s="26" t="s">
        <v>185</v>
      </c>
      <c r="C8" s="25">
        <v>171318408</v>
      </c>
      <c r="D8" s="27">
        <v>167562809.34</v>
      </c>
      <c r="E8" s="6">
        <f>D8-C8</f>
        <v>-3755598.66</v>
      </c>
      <c r="F8" s="7">
        <f t="shared" si="0"/>
        <v>-375.559866</v>
      </c>
      <c r="G8" s="76"/>
      <c r="H8" s="25" t="s">
        <v>163</v>
      </c>
      <c r="I8" s="34">
        <f t="shared" si="1"/>
        <v>0</v>
      </c>
      <c r="J8" s="40"/>
      <c r="K8" s="40"/>
      <c r="L8" s="35"/>
      <c r="M8" s="1">
        <f>D8-上次发出稿!D10</f>
        <v>5338783.33000001</v>
      </c>
      <c r="O8" s="1" t="e">
        <f>O7+O6</f>
        <v>#REF!</v>
      </c>
      <c r="Q8" s="84" t="s">
        <v>186</v>
      </c>
      <c r="R8" s="85" t="s">
        <v>185</v>
      </c>
      <c r="S8" s="86">
        <v>167562809.34</v>
      </c>
      <c r="U8" s="1">
        <f t="shared" si="2"/>
        <v>0</v>
      </c>
    </row>
    <row r="9" s="1" customFormat="1" ht="25" customHeight="1" spans="1:21">
      <c r="A9" s="25">
        <v>4</v>
      </c>
      <c r="B9" s="26" t="s">
        <v>187</v>
      </c>
      <c r="C9" s="25">
        <v>48121421</v>
      </c>
      <c r="D9" s="27">
        <v>30366633.45</v>
      </c>
      <c r="E9" s="6">
        <f t="shared" ref="E9:E12" si="3">D9-C9</f>
        <v>-17754787.55</v>
      </c>
      <c r="F9" s="7">
        <f t="shared" si="0"/>
        <v>-1775.478755</v>
      </c>
      <c r="G9" s="76"/>
      <c r="H9" s="25" t="s">
        <v>164</v>
      </c>
      <c r="I9" s="34">
        <f t="shared" si="1"/>
        <v>0</v>
      </c>
      <c r="J9" s="40"/>
      <c r="K9" s="40"/>
      <c r="L9" s="35"/>
      <c r="Q9" s="84" t="s">
        <v>188</v>
      </c>
      <c r="R9" s="85" t="s">
        <v>187</v>
      </c>
      <c r="S9" s="86">
        <v>30366633.45</v>
      </c>
      <c r="U9" s="1">
        <f t="shared" si="2"/>
        <v>0</v>
      </c>
    </row>
    <row r="10" s="1" customFormat="1" ht="25" customHeight="1" spans="1:21">
      <c r="A10" s="25">
        <v>5</v>
      </c>
      <c r="B10" s="26" t="s">
        <v>189</v>
      </c>
      <c r="C10" s="25">
        <v>53993297</v>
      </c>
      <c r="D10" s="27">
        <v>56920390.67</v>
      </c>
      <c r="E10" s="6">
        <f t="shared" si="3"/>
        <v>2927093.67</v>
      </c>
      <c r="F10" s="7">
        <f t="shared" si="0"/>
        <v>292.709367</v>
      </c>
      <c r="G10" s="76"/>
      <c r="H10" s="25" t="s">
        <v>165</v>
      </c>
      <c r="I10" s="34">
        <f t="shared" si="1"/>
        <v>1</v>
      </c>
      <c r="J10" s="40"/>
      <c r="K10" s="40"/>
      <c r="L10" s="35"/>
      <c r="Q10" s="84" t="s">
        <v>190</v>
      </c>
      <c r="R10" s="85" t="s">
        <v>189</v>
      </c>
      <c r="S10" s="86">
        <v>56920390.67</v>
      </c>
      <c r="U10" s="1">
        <f t="shared" si="2"/>
        <v>0</v>
      </c>
    </row>
    <row r="11" customFormat="1" ht="25" customHeight="1" spans="1:21">
      <c r="A11" s="6">
        <v>6</v>
      </c>
      <c r="B11" s="52" t="s">
        <v>129</v>
      </c>
      <c r="C11" s="6">
        <v>2504213.55</v>
      </c>
      <c r="D11" s="77">
        <v>2553250.88</v>
      </c>
      <c r="E11" s="6">
        <f t="shared" si="3"/>
        <v>49037.3300000001</v>
      </c>
      <c r="F11" s="7">
        <f t="shared" si="0"/>
        <v>4.90373300000001</v>
      </c>
      <c r="G11" s="78"/>
      <c r="H11" s="52"/>
      <c r="I11" s="34">
        <f t="shared" si="1"/>
        <v>1</v>
      </c>
      <c r="J11" s="14"/>
      <c r="K11" s="14"/>
      <c r="M11" s="1">
        <f>D11-上次发出稿!D27</f>
        <v>-29358698.13</v>
      </c>
      <c r="Q11" s="84" t="s">
        <v>191</v>
      </c>
      <c r="R11" s="85" t="s">
        <v>129</v>
      </c>
      <c r="S11" s="86">
        <v>2553250.88</v>
      </c>
      <c r="U11" s="1">
        <f t="shared" si="2"/>
        <v>0</v>
      </c>
    </row>
    <row r="12" customFormat="1" ht="25" customHeight="1" spans="1:21">
      <c r="A12" s="25">
        <v>7</v>
      </c>
      <c r="B12" s="26" t="s">
        <v>192</v>
      </c>
      <c r="C12" s="25">
        <v>5951024</v>
      </c>
      <c r="D12" s="27">
        <v>2676805.35</v>
      </c>
      <c r="E12" s="27">
        <f t="shared" si="3"/>
        <v>-3274218.65</v>
      </c>
      <c r="F12" s="27">
        <f t="shared" si="0"/>
        <v>-327.421865</v>
      </c>
      <c r="G12" s="74" t="s">
        <v>193</v>
      </c>
      <c r="H12" s="5" t="s">
        <v>170</v>
      </c>
      <c r="I12" s="34">
        <f t="shared" si="1"/>
        <v>0</v>
      </c>
      <c r="J12" s="83"/>
      <c r="K12" s="70" t="e">
        <f>#REF!+#REF!+E13</f>
        <v>#REF!</v>
      </c>
      <c r="L12">
        <v>-33080266.5797724</v>
      </c>
      <c r="M12" s="1">
        <f>D12-上次发出稿!D28</f>
        <v>-54388090.98</v>
      </c>
      <c r="N12">
        <v>-32547004.6669704</v>
      </c>
      <c r="Q12" s="84" t="s">
        <v>194</v>
      </c>
      <c r="R12" s="85" t="s">
        <v>192</v>
      </c>
      <c r="S12" s="86">
        <v>2676805.35</v>
      </c>
      <c r="U12" s="1">
        <f t="shared" si="2"/>
        <v>0</v>
      </c>
    </row>
    <row r="13" s="1" customFormat="1" ht="25" customHeight="1" spans="1:19">
      <c r="A13" s="28" t="s">
        <v>48</v>
      </c>
      <c r="B13" s="29" t="s">
        <v>49</v>
      </c>
      <c r="C13" s="28">
        <f>C14+C21+C28+C34+C40+C46+C53+C63</f>
        <v>38764955.22</v>
      </c>
      <c r="D13" s="30">
        <f>D14+D21+D28+D34+D40+D46+D53+D63</f>
        <v>37281797.85</v>
      </c>
      <c r="E13" s="28">
        <f>E14+E21+E28+E34+E40+E46+E53+E63</f>
        <v>-1483157.37</v>
      </c>
      <c r="F13" s="8">
        <f t="shared" ref="F13:F52" si="4">E13/10000</f>
        <v>-148.315737</v>
      </c>
      <c r="G13" s="79"/>
      <c r="H13" s="28" t="s">
        <v>166</v>
      </c>
      <c r="I13" s="34"/>
      <c r="J13" s="20"/>
      <c r="K13" s="20"/>
      <c r="M13" s="1" t="e">
        <f>D13-#REF!</f>
        <v>#REF!</v>
      </c>
      <c r="O13" s="35"/>
      <c r="Q13" s="84" t="s">
        <v>145</v>
      </c>
      <c r="R13" s="84"/>
      <c r="S13" s="87">
        <v>298076216.88</v>
      </c>
    </row>
    <row r="14" ht="25" customHeight="1" spans="1:12">
      <c r="A14" s="6">
        <v>1</v>
      </c>
      <c r="B14" s="52" t="s">
        <v>50</v>
      </c>
      <c r="C14" s="6">
        <f>SUM(C15:C20)</f>
        <v>4571724.26</v>
      </c>
      <c r="D14" s="77">
        <f>SUM(D15:D20)</f>
        <v>3993470.19</v>
      </c>
      <c r="E14" s="6">
        <f t="shared" ref="E13:E72" si="5">D14-C14</f>
        <v>-578254.069999999</v>
      </c>
      <c r="F14" s="7">
        <f t="shared" si="4"/>
        <v>-57.8254069999999</v>
      </c>
      <c r="G14" s="51"/>
      <c r="H14" s="51"/>
      <c r="I14" s="34"/>
      <c r="J14" s="56"/>
      <c r="K14" t="e">
        <f>E15+E22+E30+E36+E48+E54+E61+#REF!+E65+E66+E67+E68+E23+E42+E49+E25</f>
        <v>#REF!</v>
      </c>
      <c r="L14" t="e">
        <f>F15+F22+F30+F36+F48+F54+F61+#REF!+F65+F66+F67+F68+F23+F42+F49+F25</f>
        <v>#REF!</v>
      </c>
    </row>
    <row r="15" ht="25" customHeight="1" spans="1:12">
      <c r="A15" s="6">
        <v>1.1</v>
      </c>
      <c r="B15" s="52" t="s">
        <v>51</v>
      </c>
      <c r="C15" s="6">
        <v>800792.51</v>
      </c>
      <c r="D15" s="77">
        <v>868381.81</v>
      </c>
      <c r="E15" s="6">
        <f t="shared" si="5"/>
        <v>67589.3</v>
      </c>
      <c r="F15" s="7">
        <f t="shared" si="4"/>
        <v>6.75893</v>
      </c>
      <c r="G15" s="54"/>
      <c r="H15" s="54" t="s">
        <v>52</v>
      </c>
      <c r="I15" s="34">
        <f t="shared" si="1"/>
        <v>1</v>
      </c>
      <c r="J15" s="55"/>
      <c r="K15">
        <f>E16+E17+E18+E19+E20+E24+E26+E27+E29+E31+E32+E33+E35+E37+E38+E39+E41+E43+E44+E45+E47+E50+E51+E52+E55+E56+E57+E58+E59+E60+E62+E64</f>
        <v>-3300891.15</v>
      </c>
      <c r="L15">
        <f>F16+F17+F18+F19+F20+F24+F26+F27+F29+F31+F32+F33+F35+F37+F38+F39+F41+F43+F44+F45+F47+F50+F51+F52+F55+F56+F57+F58+F59+F60+F62+F64</f>
        <v>-330.089115</v>
      </c>
    </row>
    <row r="16" ht="25" customHeight="1" spans="1:12">
      <c r="A16" s="6">
        <v>1.2</v>
      </c>
      <c r="B16" s="52" t="s">
        <v>53</v>
      </c>
      <c r="C16" s="6">
        <v>3664352.89</v>
      </c>
      <c r="D16" s="77">
        <v>3045036.49</v>
      </c>
      <c r="E16" s="6">
        <f t="shared" si="5"/>
        <v>-619316.4</v>
      </c>
      <c r="F16" s="7">
        <f t="shared" si="4"/>
        <v>-61.93164</v>
      </c>
      <c r="G16" s="54"/>
      <c r="H16" s="54" t="s">
        <v>54</v>
      </c>
      <c r="I16" s="34">
        <f t="shared" si="1"/>
        <v>0</v>
      </c>
      <c r="J16" s="55"/>
      <c r="K16" s="55"/>
      <c r="L16" t="e">
        <f>L15+L14-F13</f>
        <v>#REF!</v>
      </c>
    </row>
    <row r="17" ht="25" customHeight="1" spans="1:11">
      <c r="A17" s="6">
        <v>1.3</v>
      </c>
      <c r="B17" s="52" t="s">
        <v>56</v>
      </c>
      <c r="C17" s="6">
        <v>58020.71</v>
      </c>
      <c r="D17" s="77">
        <v>35089.54</v>
      </c>
      <c r="E17" s="6">
        <f t="shared" si="5"/>
        <v>-22931.17</v>
      </c>
      <c r="F17" s="7">
        <f t="shared" si="4"/>
        <v>-2.293117</v>
      </c>
      <c r="G17" s="54"/>
      <c r="H17" s="54" t="s">
        <v>57</v>
      </c>
      <c r="I17" s="34">
        <f t="shared" si="1"/>
        <v>0</v>
      </c>
      <c r="J17" s="55"/>
      <c r="K17" s="55"/>
    </row>
    <row r="18" ht="25" customHeight="1" spans="1:11">
      <c r="A18" s="6">
        <v>1.4</v>
      </c>
      <c r="B18" s="52" t="s">
        <v>58</v>
      </c>
      <c r="C18" s="6">
        <v>42259.41</v>
      </c>
      <c r="D18" s="77">
        <v>41990.42</v>
      </c>
      <c r="E18" s="6">
        <f t="shared" si="5"/>
        <v>-268.990000000005</v>
      </c>
      <c r="F18" s="7">
        <f t="shared" si="4"/>
        <v>-0.0268990000000005</v>
      </c>
      <c r="G18" s="52"/>
      <c r="H18" s="52"/>
      <c r="I18" s="34">
        <f t="shared" si="1"/>
        <v>0</v>
      </c>
      <c r="J18" s="14"/>
      <c r="K18" s="14"/>
    </row>
    <row r="19" ht="25" customHeight="1" spans="1:11">
      <c r="A19" s="6">
        <v>1.5</v>
      </c>
      <c r="B19" s="52" t="s">
        <v>60</v>
      </c>
      <c r="C19" s="6">
        <v>3713.85</v>
      </c>
      <c r="D19" s="77">
        <v>1684.46</v>
      </c>
      <c r="E19" s="6">
        <f t="shared" si="5"/>
        <v>-2029.39</v>
      </c>
      <c r="F19" s="7">
        <f t="shared" si="4"/>
        <v>-0.202939</v>
      </c>
      <c r="G19" s="54"/>
      <c r="H19" s="54" t="s">
        <v>61</v>
      </c>
      <c r="I19" s="34">
        <f t="shared" si="1"/>
        <v>0</v>
      </c>
      <c r="J19" s="55"/>
      <c r="K19" s="55"/>
    </row>
    <row r="20" ht="25" customHeight="1" spans="1:11">
      <c r="A20" s="6">
        <v>1.6</v>
      </c>
      <c r="B20" s="52" t="s">
        <v>62</v>
      </c>
      <c r="C20" s="6">
        <v>2584.89</v>
      </c>
      <c r="D20" s="77">
        <v>1287.47</v>
      </c>
      <c r="E20" s="6">
        <f t="shared" si="5"/>
        <v>-1297.42</v>
      </c>
      <c r="F20" s="7">
        <f t="shared" si="4"/>
        <v>-0.129742</v>
      </c>
      <c r="G20" s="54"/>
      <c r="H20" s="54" t="s">
        <v>63</v>
      </c>
      <c r="I20" s="34">
        <f t="shared" si="1"/>
        <v>0</v>
      </c>
      <c r="J20" s="55"/>
      <c r="K20" s="55"/>
    </row>
    <row r="21" ht="25" customHeight="1" spans="1:11">
      <c r="A21" s="6">
        <v>2</v>
      </c>
      <c r="B21" s="52" t="s">
        <v>64</v>
      </c>
      <c r="C21" s="6">
        <f>SUM(C22:C27)</f>
        <v>1048364.5</v>
      </c>
      <c r="D21" s="77">
        <f>SUM(D22:D27)</f>
        <v>1106830.35</v>
      </c>
      <c r="E21" s="6">
        <f t="shared" si="5"/>
        <v>58465.8500000001</v>
      </c>
      <c r="F21" s="7">
        <f t="shared" si="4"/>
        <v>5.84658500000001</v>
      </c>
      <c r="G21" s="52"/>
      <c r="H21" s="52"/>
      <c r="I21" s="34"/>
      <c r="J21" s="14"/>
      <c r="K21" s="14"/>
    </row>
    <row r="22" ht="25" customHeight="1" spans="1:11">
      <c r="A22" s="6">
        <v>2.1</v>
      </c>
      <c r="B22" s="52" t="s">
        <v>65</v>
      </c>
      <c r="C22" s="6">
        <v>764789.32</v>
      </c>
      <c r="D22" s="77">
        <v>820200.93</v>
      </c>
      <c r="E22" s="6">
        <f t="shared" si="5"/>
        <v>55411.6100000001</v>
      </c>
      <c r="F22" s="7">
        <f t="shared" si="4"/>
        <v>5.54116100000001</v>
      </c>
      <c r="G22" s="51"/>
      <c r="H22" s="51" t="s">
        <v>66</v>
      </c>
      <c r="I22" s="34">
        <f t="shared" si="1"/>
        <v>1</v>
      </c>
      <c r="J22" s="56"/>
      <c r="K22" s="56"/>
    </row>
    <row r="23" ht="25" customHeight="1" spans="1:11">
      <c r="A23" s="6">
        <v>2.2</v>
      </c>
      <c r="B23" s="52" t="s">
        <v>67</v>
      </c>
      <c r="C23" s="6">
        <v>213848.83</v>
      </c>
      <c r="D23" s="77">
        <v>231827.1</v>
      </c>
      <c r="E23" s="6">
        <f t="shared" si="5"/>
        <v>17978.27</v>
      </c>
      <c r="F23" s="7">
        <f t="shared" si="4"/>
        <v>1.797827</v>
      </c>
      <c r="G23" s="51"/>
      <c r="H23" s="51" t="s">
        <v>68</v>
      </c>
      <c r="I23" s="34">
        <f t="shared" si="1"/>
        <v>1</v>
      </c>
      <c r="J23" s="56"/>
      <c r="K23" s="56"/>
    </row>
    <row r="24" ht="25" customHeight="1" spans="1:11">
      <c r="A24" s="6">
        <v>2.3</v>
      </c>
      <c r="B24" s="52" t="s">
        <v>69</v>
      </c>
      <c r="C24" s="6">
        <v>48424.01</v>
      </c>
      <c r="D24" s="77">
        <v>31399.19</v>
      </c>
      <c r="E24" s="6">
        <f t="shared" si="5"/>
        <v>-17024.82</v>
      </c>
      <c r="F24" s="7">
        <f t="shared" si="4"/>
        <v>-1.702482</v>
      </c>
      <c r="G24" s="54"/>
      <c r="H24" s="54" t="s">
        <v>70</v>
      </c>
      <c r="I24" s="34">
        <f t="shared" si="1"/>
        <v>0</v>
      </c>
      <c r="J24" s="55"/>
      <c r="K24" s="55"/>
    </row>
    <row r="25" ht="25" customHeight="1" spans="1:11">
      <c r="A25" s="6">
        <v>2.4</v>
      </c>
      <c r="B25" s="52" t="s">
        <v>71</v>
      </c>
      <c r="C25" s="6">
        <v>5511.29</v>
      </c>
      <c r="D25" s="77">
        <v>8930.11</v>
      </c>
      <c r="E25" s="6">
        <f t="shared" si="5"/>
        <v>3418.82</v>
      </c>
      <c r="F25" s="7">
        <f t="shared" si="4"/>
        <v>0.341882</v>
      </c>
      <c r="G25" s="54"/>
      <c r="H25" s="54" t="s">
        <v>72</v>
      </c>
      <c r="I25" s="34">
        <f t="shared" si="1"/>
        <v>1</v>
      </c>
      <c r="J25" s="55"/>
      <c r="K25" s="55"/>
    </row>
    <row r="26" ht="25" customHeight="1" spans="1:11">
      <c r="A26" s="6">
        <v>2.5</v>
      </c>
      <c r="B26" s="52" t="s">
        <v>73</v>
      </c>
      <c r="C26" s="6">
        <v>14067.78</v>
      </c>
      <c r="D26" s="77">
        <v>13615.25</v>
      </c>
      <c r="E26" s="6">
        <f t="shared" si="5"/>
        <v>-452.530000000001</v>
      </c>
      <c r="F26" s="7">
        <f t="shared" si="4"/>
        <v>-0.0452530000000001</v>
      </c>
      <c r="G26" s="54"/>
      <c r="H26" s="54" t="s">
        <v>74</v>
      </c>
      <c r="I26" s="34">
        <f t="shared" si="1"/>
        <v>0</v>
      </c>
      <c r="J26" s="55"/>
      <c r="K26" s="55"/>
    </row>
    <row r="27" ht="25" customHeight="1" spans="1:11">
      <c r="A27" s="6">
        <v>2.6</v>
      </c>
      <c r="B27" s="52" t="s">
        <v>75</v>
      </c>
      <c r="C27" s="6">
        <v>1723.27</v>
      </c>
      <c r="D27" s="77">
        <v>857.77</v>
      </c>
      <c r="E27" s="6">
        <f t="shared" si="5"/>
        <v>-865.5</v>
      </c>
      <c r="F27" s="7">
        <f t="shared" si="4"/>
        <v>-0.08655</v>
      </c>
      <c r="G27" s="54"/>
      <c r="H27" s="54"/>
      <c r="I27" s="34">
        <f t="shared" si="1"/>
        <v>0</v>
      </c>
      <c r="J27" s="55"/>
      <c r="K27" s="55"/>
    </row>
    <row r="28" ht="25" customHeight="1" spans="1:11">
      <c r="A28" s="6">
        <v>3</v>
      </c>
      <c r="B28" s="52" t="s">
        <v>76</v>
      </c>
      <c r="C28" s="6">
        <f>SUM(C29:C33)</f>
        <v>132922.97</v>
      </c>
      <c r="D28" s="77">
        <f>SUM(D29:D33)</f>
        <v>100686.01</v>
      </c>
      <c r="E28" s="6">
        <f t="shared" si="5"/>
        <v>-32236.96</v>
      </c>
      <c r="F28" s="7">
        <f t="shared" si="4"/>
        <v>-3.223696</v>
      </c>
      <c r="G28" s="43"/>
      <c r="H28" s="43"/>
      <c r="I28" s="34"/>
      <c r="J28" s="57"/>
      <c r="K28" s="57"/>
    </row>
    <row r="29" ht="25" customHeight="1" spans="1:11">
      <c r="A29" s="6">
        <v>3.1</v>
      </c>
      <c r="B29" s="52" t="s">
        <v>77</v>
      </c>
      <c r="C29" s="6">
        <v>83444.35</v>
      </c>
      <c r="D29" s="80">
        <v>60278.43</v>
      </c>
      <c r="E29" s="6">
        <f t="shared" si="5"/>
        <v>-23165.92</v>
      </c>
      <c r="F29" s="7">
        <f t="shared" si="4"/>
        <v>-2.316592</v>
      </c>
      <c r="G29" s="54"/>
      <c r="H29" s="54" t="s">
        <v>78</v>
      </c>
      <c r="I29" s="34">
        <f t="shared" si="1"/>
        <v>0</v>
      </c>
      <c r="J29" s="55"/>
      <c r="K29" s="55"/>
    </row>
    <row r="30" ht="25" customHeight="1" spans="1:11">
      <c r="A30" s="6">
        <v>3.2</v>
      </c>
      <c r="B30" s="52" t="s">
        <v>79</v>
      </c>
      <c r="C30" s="6">
        <v>19036.44</v>
      </c>
      <c r="D30" s="80">
        <v>23304.23</v>
      </c>
      <c r="E30" s="6">
        <f t="shared" si="5"/>
        <v>4267.79</v>
      </c>
      <c r="F30" s="7">
        <f t="shared" si="4"/>
        <v>0.426779</v>
      </c>
      <c r="G30" s="54"/>
      <c r="H30" s="54" t="s">
        <v>80</v>
      </c>
      <c r="I30" s="34">
        <f t="shared" si="1"/>
        <v>1</v>
      </c>
      <c r="J30" s="55"/>
      <c r="K30" s="55"/>
    </row>
    <row r="31" ht="25" customHeight="1" spans="1:11">
      <c r="A31" s="6">
        <v>3.3</v>
      </c>
      <c r="B31" s="52" t="s">
        <v>81</v>
      </c>
      <c r="C31" s="6">
        <v>3142.97</v>
      </c>
      <c r="D31" s="80">
        <v>2907.51</v>
      </c>
      <c r="E31" s="6">
        <f t="shared" si="5"/>
        <v>-235.46</v>
      </c>
      <c r="F31" s="7">
        <f t="shared" si="4"/>
        <v>-0.023546</v>
      </c>
      <c r="G31" s="52"/>
      <c r="H31" s="52"/>
      <c r="I31" s="34">
        <f t="shared" si="1"/>
        <v>0</v>
      </c>
      <c r="J31" s="14"/>
      <c r="K31" s="14"/>
    </row>
    <row r="32" ht="25" customHeight="1" spans="1:11">
      <c r="A32" s="6">
        <v>3.4</v>
      </c>
      <c r="B32" s="52" t="s">
        <v>82</v>
      </c>
      <c r="C32" s="6">
        <v>26868.4</v>
      </c>
      <c r="D32" s="80">
        <v>13981.39</v>
      </c>
      <c r="E32" s="6">
        <f t="shared" si="5"/>
        <v>-12887.01</v>
      </c>
      <c r="F32" s="7">
        <f t="shared" si="4"/>
        <v>-1.288701</v>
      </c>
      <c r="G32" s="54"/>
      <c r="H32" s="54" t="s">
        <v>83</v>
      </c>
      <c r="I32" s="34">
        <f t="shared" si="1"/>
        <v>0</v>
      </c>
      <c r="J32" s="55"/>
      <c r="K32" s="55"/>
    </row>
    <row r="33" ht="25" customHeight="1" spans="1:11">
      <c r="A33" s="6">
        <v>3.5</v>
      </c>
      <c r="B33" s="52" t="s">
        <v>84</v>
      </c>
      <c r="C33" s="6">
        <v>430.81</v>
      </c>
      <c r="D33" s="80">
        <v>214.45</v>
      </c>
      <c r="E33" s="6">
        <f t="shared" si="5"/>
        <v>-216.36</v>
      </c>
      <c r="F33" s="7">
        <f t="shared" si="4"/>
        <v>-0.021636</v>
      </c>
      <c r="G33" s="52"/>
      <c r="H33" s="52"/>
      <c r="I33" s="34">
        <f t="shared" si="1"/>
        <v>0</v>
      </c>
      <c r="J33" s="14"/>
      <c r="K33" s="14"/>
    </row>
    <row r="34" ht="25" customHeight="1" spans="1:11">
      <c r="A34" s="6">
        <v>4</v>
      </c>
      <c r="B34" s="52" t="s">
        <v>85</v>
      </c>
      <c r="C34" s="6">
        <f>SUM(C35:C39)</f>
        <v>103817.66</v>
      </c>
      <c r="D34" s="77">
        <f>SUM(D35:D39)</f>
        <v>73476.61</v>
      </c>
      <c r="E34" s="6">
        <f t="shared" si="5"/>
        <v>-30341.05</v>
      </c>
      <c r="F34" s="7">
        <f t="shared" si="4"/>
        <v>-3.034105</v>
      </c>
      <c r="G34" s="52"/>
      <c r="H34" s="52"/>
      <c r="I34" s="34"/>
      <c r="J34" s="14"/>
      <c r="K34" s="14"/>
    </row>
    <row r="35" ht="25" customHeight="1" spans="1:11">
      <c r="A35" s="6">
        <v>4.1</v>
      </c>
      <c r="B35" s="52" t="s">
        <v>86</v>
      </c>
      <c r="C35" s="6">
        <v>68858.94</v>
      </c>
      <c r="D35" s="80">
        <v>40212.56</v>
      </c>
      <c r="E35" s="6">
        <f t="shared" si="5"/>
        <v>-28646.38</v>
      </c>
      <c r="F35" s="7">
        <f t="shared" si="4"/>
        <v>-2.864638</v>
      </c>
      <c r="G35" s="51"/>
      <c r="H35" s="51" t="s">
        <v>87</v>
      </c>
      <c r="I35" s="34">
        <f t="shared" si="1"/>
        <v>0</v>
      </c>
      <c r="J35" s="56"/>
      <c r="K35" s="56"/>
    </row>
    <row r="36" ht="25" customHeight="1" spans="1:11">
      <c r="A36" s="6">
        <v>4.2</v>
      </c>
      <c r="B36" s="52" t="s">
        <v>88</v>
      </c>
      <c r="C36" s="6">
        <v>13546.41</v>
      </c>
      <c r="D36" s="80">
        <v>16452.69</v>
      </c>
      <c r="E36" s="6">
        <f t="shared" si="5"/>
        <v>2906.28</v>
      </c>
      <c r="F36" s="7">
        <f t="shared" si="4"/>
        <v>0.290628</v>
      </c>
      <c r="G36" s="54"/>
      <c r="H36" s="54" t="s">
        <v>89</v>
      </c>
      <c r="I36" s="34">
        <f t="shared" si="1"/>
        <v>1</v>
      </c>
      <c r="J36" s="55"/>
      <c r="K36" s="55"/>
    </row>
    <row r="37" ht="25" customHeight="1" spans="1:11">
      <c r="A37" s="6">
        <v>4.3</v>
      </c>
      <c r="B37" s="52" t="s">
        <v>90</v>
      </c>
      <c r="C37" s="6">
        <v>3142.97</v>
      </c>
      <c r="D37" s="80">
        <v>2907.51</v>
      </c>
      <c r="E37" s="6">
        <f t="shared" si="5"/>
        <v>-235.46</v>
      </c>
      <c r="F37" s="7">
        <f t="shared" si="4"/>
        <v>-0.023546</v>
      </c>
      <c r="G37" s="52"/>
      <c r="H37" s="52"/>
      <c r="I37" s="34">
        <f t="shared" si="1"/>
        <v>0</v>
      </c>
      <c r="J37" s="14"/>
      <c r="K37" s="14"/>
    </row>
    <row r="38" ht="25" customHeight="1" spans="1:11">
      <c r="A38" s="6">
        <v>4.4</v>
      </c>
      <c r="B38" s="52" t="s">
        <v>91</v>
      </c>
      <c r="C38" s="6">
        <v>17838.53</v>
      </c>
      <c r="D38" s="80">
        <v>13689.4</v>
      </c>
      <c r="E38" s="6">
        <f t="shared" si="5"/>
        <v>-4149.13</v>
      </c>
      <c r="F38" s="7">
        <f t="shared" si="4"/>
        <v>-0.414913</v>
      </c>
      <c r="G38" s="54"/>
      <c r="H38" s="54" t="s">
        <v>92</v>
      </c>
      <c r="I38" s="34">
        <f t="shared" si="1"/>
        <v>0</v>
      </c>
      <c r="J38" s="55"/>
      <c r="K38" s="55"/>
    </row>
    <row r="39" ht="25" customHeight="1" spans="1:11">
      <c r="A39" s="6">
        <v>4.5</v>
      </c>
      <c r="B39" s="52" t="s">
        <v>93</v>
      </c>
      <c r="C39" s="6">
        <v>430.81</v>
      </c>
      <c r="D39" s="80">
        <v>214.45</v>
      </c>
      <c r="E39" s="6">
        <f t="shared" si="5"/>
        <v>-216.36</v>
      </c>
      <c r="F39" s="7">
        <f t="shared" si="4"/>
        <v>-0.021636</v>
      </c>
      <c r="G39" s="52"/>
      <c r="H39" s="52"/>
      <c r="I39" s="34">
        <f t="shared" ref="I39:I69" si="6">IF(F39&gt;0,1,0)</f>
        <v>0</v>
      </c>
      <c r="J39" s="14"/>
      <c r="K39" s="14"/>
    </row>
    <row r="40" ht="25" customHeight="1" spans="1:11">
      <c r="A40" s="6">
        <v>5</v>
      </c>
      <c r="B40" s="52" t="s">
        <v>94</v>
      </c>
      <c r="C40" s="6">
        <f>SUM(C41:C45)</f>
        <v>105800.45</v>
      </c>
      <c r="D40" s="77">
        <f>SUM(D41:D45)</f>
        <v>72694.07</v>
      </c>
      <c r="E40" s="6">
        <f t="shared" si="5"/>
        <v>-33106.38</v>
      </c>
      <c r="F40" s="7">
        <f t="shared" si="4"/>
        <v>-3.310638</v>
      </c>
      <c r="G40" s="52"/>
      <c r="H40" s="52"/>
      <c r="I40" s="34"/>
      <c r="J40" s="14"/>
      <c r="K40" s="14"/>
    </row>
    <row r="41" ht="25" customHeight="1" spans="1:11">
      <c r="A41" s="6">
        <v>5.1</v>
      </c>
      <c r="B41" s="52" t="s">
        <v>95</v>
      </c>
      <c r="C41" s="6">
        <v>67869.37</v>
      </c>
      <c r="D41" s="80">
        <v>38461.39</v>
      </c>
      <c r="E41" s="6">
        <f t="shared" si="5"/>
        <v>-29407.98</v>
      </c>
      <c r="F41" s="7">
        <f t="shared" si="4"/>
        <v>-2.940798</v>
      </c>
      <c r="G41" s="51"/>
      <c r="H41" s="51" t="s">
        <v>96</v>
      </c>
      <c r="I41" s="34">
        <f t="shared" si="6"/>
        <v>0</v>
      </c>
      <c r="J41" s="56"/>
      <c r="K41" s="56"/>
    </row>
    <row r="42" ht="25" customHeight="1" spans="1:11">
      <c r="A42" s="6">
        <v>5.2</v>
      </c>
      <c r="B42" s="52" t="s">
        <v>97</v>
      </c>
      <c r="C42" s="6">
        <v>13676.11</v>
      </c>
      <c r="D42" s="80">
        <v>17289.3</v>
      </c>
      <c r="E42" s="6">
        <f t="shared" si="5"/>
        <v>3613.19</v>
      </c>
      <c r="F42" s="7">
        <f t="shared" si="4"/>
        <v>0.361319</v>
      </c>
      <c r="G42" s="54"/>
      <c r="H42" s="54" t="s">
        <v>98</v>
      </c>
      <c r="I42" s="34">
        <f t="shared" si="6"/>
        <v>1</v>
      </c>
      <c r="J42" s="55"/>
      <c r="K42" s="55"/>
    </row>
    <row r="43" ht="25" customHeight="1" spans="1:11">
      <c r="A43" s="6">
        <v>5.3</v>
      </c>
      <c r="B43" s="52" t="s">
        <v>99</v>
      </c>
      <c r="C43" s="6">
        <v>3142.97</v>
      </c>
      <c r="D43" s="81">
        <v>2907.51</v>
      </c>
      <c r="E43" s="6">
        <f t="shared" si="5"/>
        <v>-235.46</v>
      </c>
      <c r="F43" s="7">
        <f t="shared" si="4"/>
        <v>-0.023546</v>
      </c>
      <c r="G43" s="52"/>
      <c r="H43" s="52"/>
      <c r="I43" s="34">
        <f t="shared" si="6"/>
        <v>0</v>
      </c>
      <c r="J43" s="14"/>
      <c r="K43" s="14"/>
    </row>
    <row r="44" ht="25" customHeight="1" spans="1:11">
      <c r="A44" s="6">
        <v>5.4</v>
      </c>
      <c r="B44" s="52" t="s">
        <v>100</v>
      </c>
      <c r="C44" s="6">
        <v>20681.19</v>
      </c>
      <c r="D44" s="27">
        <v>13821.42</v>
      </c>
      <c r="E44" s="6">
        <f t="shared" si="5"/>
        <v>-6859.77</v>
      </c>
      <c r="F44" s="7">
        <f t="shared" si="4"/>
        <v>-0.685977</v>
      </c>
      <c r="G44" s="54"/>
      <c r="H44" s="54" t="s">
        <v>101</v>
      </c>
      <c r="I44" s="34">
        <f t="shared" si="6"/>
        <v>0</v>
      </c>
      <c r="J44" s="55"/>
      <c r="K44" s="55"/>
    </row>
    <row r="45" ht="25" customHeight="1" spans="1:11">
      <c r="A45" s="6">
        <v>5.5</v>
      </c>
      <c r="B45" s="52" t="s">
        <v>102</v>
      </c>
      <c r="C45" s="6">
        <v>430.81</v>
      </c>
      <c r="D45" s="77">
        <v>214.45</v>
      </c>
      <c r="E45" s="6">
        <f t="shared" si="5"/>
        <v>-216.36</v>
      </c>
      <c r="F45" s="7">
        <f t="shared" si="4"/>
        <v>-0.021636</v>
      </c>
      <c r="G45" s="52"/>
      <c r="H45" s="52"/>
      <c r="I45" s="34">
        <f t="shared" si="6"/>
        <v>0</v>
      </c>
      <c r="J45" s="14"/>
      <c r="K45" s="14"/>
    </row>
    <row r="46" ht="25" customHeight="1" spans="1:11">
      <c r="A46" s="6">
        <v>6</v>
      </c>
      <c r="B46" s="52" t="s">
        <v>103</v>
      </c>
      <c r="C46" s="6">
        <f>SUM(C47:C52)</f>
        <v>257973.28</v>
      </c>
      <c r="D46" s="82">
        <f>SUM(D47:D52)</f>
        <v>179405.57</v>
      </c>
      <c r="E46" s="6">
        <f t="shared" si="5"/>
        <v>-78567.71</v>
      </c>
      <c r="F46" s="7">
        <f t="shared" si="4"/>
        <v>-7.856771</v>
      </c>
      <c r="G46" s="43"/>
      <c r="H46" s="43"/>
      <c r="I46" s="34"/>
      <c r="J46" s="57"/>
      <c r="K46" s="57"/>
    </row>
    <row r="47" ht="25" customHeight="1" spans="1:11">
      <c r="A47" s="6">
        <v>6.1</v>
      </c>
      <c r="B47" s="52" t="s">
        <v>104</v>
      </c>
      <c r="C47" s="6">
        <v>131844.68</v>
      </c>
      <c r="D47" s="80">
        <v>57555.69</v>
      </c>
      <c r="E47" s="6">
        <f t="shared" si="5"/>
        <v>-74288.99</v>
      </c>
      <c r="F47" s="7">
        <f t="shared" si="4"/>
        <v>-7.428899</v>
      </c>
      <c r="G47" s="51"/>
      <c r="H47" s="51" t="s">
        <v>105</v>
      </c>
      <c r="I47" s="34">
        <f t="shared" si="6"/>
        <v>0</v>
      </c>
      <c r="J47" s="56"/>
      <c r="K47" s="56"/>
    </row>
    <row r="48" customFormat="1" ht="25" customHeight="1" spans="1:11">
      <c r="A48" s="6">
        <v>6.2</v>
      </c>
      <c r="B48" s="52" t="s">
        <v>106</v>
      </c>
      <c r="C48" s="6">
        <v>64050.2</v>
      </c>
      <c r="D48" s="80">
        <v>81275.66</v>
      </c>
      <c r="E48" s="6">
        <f t="shared" si="5"/>
        <v>17225.46</v>
      </c>
      <c r="F48" s="7">
        <f t="shared" si="4"/>
        <v>1.722546</v>
      </c>
      <c r="G48" s="52"/>
      <c r="H48" s="52"/>
      <c r="I48" s="34">
        <f t="shared" si="6"/>
        <v>1</v>
      </c>
      <c r="J48" s="14"/>
      <c r="K48" s="14"/>
    </row>
    <row r="49" customFormat="1" ht="25" customHeight="1" spans="1:11">
      <c r="A49" s="6">
        <v>6.3</v>
      </c>
      <c r="B49" s="52" t="s">
        <v>107</v>
      </c>
      <c r="C49" s="6">
        <v>9144.11</v>
      </c>
      <c r="D49" s="80">
        <v>15811.08</v>
      </c>
      <c r="E49" s="6">
        <f t="shared" si="5"/>
        <v>6666.97</v>
      </c>
      <c r="F49" s="7">
        <f t="shared" si="4"/>
        <v>0.666697</v>
      </c>
      <c r="G49" s="52"/>
      <c r="H49" s="52"/>
      <c r="I49" s="34">
        <f t="shared" si="6"/>
        <v>1</v>
      </c>
      <c r="J49" s="14"/>
      <c r="K49" s="14"/>
    </row>
    <row r="50" customFormat="1" ht="25" customHeight="1" spans="1:11">
      <c r="A50" s="6">
        <v>6.4</v>
      </c>
      <c r="B50" s="52" t="s">
        <v>108</v>
      </c>
      <c r="C50" s="6">
        <v>40748.43</v>
      </c>
      <c r="D50" s="80">
        <v>13840.28</v>
      </c>
      <c r="E50" s="6">
        <f t="shared" si="5"/>
        <v>-26908.15</v>
      </c>
      <c r="F50" s="7">
        <f t="shared" si="4"/>
        <v>-2.690815</v>
      </c>
      <c r="G50" s="54"/>
      <c r="H50" s="54" t="s">
        <v>109</v>
      </c>
      <c r="I50" s="34">
        <f t="shared" si="6"/>
        <v>0</v>
      </c>
      <c r="J50" s="55"/>
      <c r="K50" s="55"/>
    </row>
    <row r="51" customFormat="1" ht="25" customHeight="1" spans="1:11">
      <c r="A51" s="6">
        <v>6.5</v>
      </c>
      <c r="B51" s="52" t="s">
        <v>110</v>
      </c>
      <c r="C51" s="6">
        <v>11755.05</v>
      </c>
      <c r="D51" s="80">
        <v>10708.41</v>
      </c>
      <c r="E51" s="6">
        <f t="shared" si="5"/>
        <v>-1046.64</v>
      </c>
      <c r="F51" s="7">
        <f t="shared" si="4"/>
        <v>-0.104664</v>
      </c>
      <c r="G51" s="52"/>
      <c r="H51" s="52"/>
      <c r="I51" s="34">
        <f t="shared" si="6"/>
        <v>0</v>
      </c>
      <c r="J51" s="14"/>
      <c r="K51" s="14"/>
    </row>
    <row r="52" customFormat="1" ht="25" customHeight="1" spans="1:11">
      <c r="A52" s="6">
        <v>6.6</v>
      </c>
      <c r="B52" s="52" t="s">
        <v>111</v>
      </c>
      <c r="C52" s="6">
        <v>430.81</v>
      </c>
      <c r="D52" s="80">
        <v>214.45</v>
      </c>
      <c r="E52" s="6">
        <f t="shared" si="5"/>
        <v>-216.36</v>
      </c>
      <c r="F52" s="7">
        <f t="shared" si="4"/>
        <v>-0.021636</v>
      </c>
      <c r="G52" s="52"/>
      <c r="H52" s="52"/>
      <c r="I52" s="34">
        <f t="shared" si="6"/>
        <v>0</v>
      </c>
      <c r="J52" s="14"/>
      <c r="K52" s="14"/>
    </row>
    <row r="53" customFormat="1" ht="25" customHeight="1" spans="1:11">
      <c r="A53" s="6">
        <v>7</v>
      </c>
      <c r="B53" s="52" t="s">
        <v>112</v>
      </c>
      <c r="C53" s="6">
        <f>SUM(C54:C62)</f>
        <v>23744636.49</v>
      </c>
      <c r="D53" s="77">
        <f>SUM(D54:D62)</f>
        <v>23305959.27</v>
      </c>
      <c r="E53" s="6">
        <f t="shared" si="5"/>
        <v>-438677.219999999</v>
      </c>
      <c r="F53" s="7">
        <f t="shared" ref="F53:F74" si="7">E53/10000</f>
        <v>-43.8677219999999</v>
      </c>
      <c r="G53" s="43"/>
      <c r="H53" s="43"/>
      <c r="I53" s="34"/>
      <c r="J53" s="57"/>
      <c r="K53" s="57"/>
    </row>
    <row r="54" customFormat="1" ht="25" customHeight="1" spans="1:11">
      <c r="A54" s="6">
        <v>7.1</v>
      </c>
      <c r="B54" s="52" t="s">
        <v>113</v>
      </c>
      <c r="C54" s="6">
        <v>5510195.95</v>
      </c>
      <c r="D54" s="80">
        <v>5879771.96</v>
      </c>
      <c r="E54" s="6">
        <f t="shared" si="5"/>
        <v>369576.01</v>
      </c>
      <c r="F54" s="7">
        <f t="shared" si="7"/>
        <v>36.957601</v>
      </c>
      <c r="G54" s="51"/>
      <c r="H54" s="51" t="s">
        <v>114</v>
      </c>
      <c r="I54" s="34">
        <f t="shared" si="6"/>
        <v>1</v>
      </c>
      <c r="J54" s="56"/>
      <c r="K54" s="56"/>
    </row>
    <row r="55" customFormat="1" ht="25" customHeight="1" spans="1:11">
      <c r="A55" s="6">
        <v>7.2</v>
      </c>
      <c r="B55" s="52" t="s">
        <v>115</v>
      </c>
      <c r="C55" s="6">
        <v>449618.3</v>
      </c>
      <c r="D55" s="80">
        <v>316892.6</v>
      </c>
      <c r="E55" s="6">
        <f t="shared" si="5"/>
        <v>-132725.7</v>
      </c>
      <c r="F55" s="7">
        <f t="shared" si="7"/>
        <v>-13.27257</v>
      </c>
      <c r="G55" s="51"/>
      <c r="H55" s="51" t="s">
        <v>116</v>
      </c>
      <c r="I55" s="34">
        <f t="shared" si="6"/>
        <v>0</v>
      </c>
      <c r="J55" s="56"/>
      <c r="K55" s="56"/>
    </row>
    <row r="56" customFormat="1" ht="25" customHeight="1" spans="1:11">
      <c r="A56" s="6">
        <v>7.3</v>
      </c>
      <c r="B56" s="52" t="s">
        <v>117</v>
      </c>
      <c r="C56" s="6">
        <v>522465.7</v>
      </c>
      <c r="D56" s="80">
        <v>501036.95</v>
      </c>
      <c r="E56" s="6">
        <f t="shared" si="5"/>
        <v>-21428.75</v>
      </c>
      <c r="F56" s="7">
        <f t="shared" si="7"/>
        <v>-2.142875</v>
      </c>
      <c r="G56" s="51"/>
      <c r="H56" s="51" t="s">
        <v>118</v>
      </c>
      <c r="I56" s="34">
        <f t="shared" si="6"/>
        <v>0</v>
      </c>
      <c r="J56" s="56"/>
      <c r="K56" s="56"/>
    </row>
    <row r="57" customFormat="1" ht="25" customHeight="1" spans="1:11">
      <c r="A57" s="6">
        <v>7.4</v>
      </c>
      <c r="B57" s="52" t="s">
        <v>119</v>
      </c>
      <c r="C57" s="6">
        <v>13210737.73</v>
      </c>
      <c r="D57" s="80">
        <v>12910930.33</v>
      </c>
      <c r="E57" s="6">
        <f t="shared" si="5"/>
        <v>-299807.4</v>
      </c>
      <c r="F57" s="7">
        <f t="shared" si="7"/>
        <v>-29.98074</v>
      </c>
      <c r="G57" s="51"/>
      <c r="H57" s="51" t="s">
        <v>120</v>
      </c>
      <c r="I57" s="34">
        <f t="shared" si="6"/>
        <v>0</v>
      </c>
      <c r="J57" s="56"/>
      <c r="K57" s="56"/>
    </row>
    <row r="58" customFormat="1" ht="25" customHeight="1" spans="1:11">
      <c r="A58" s="6">
        <v>7.5</v>
      </c>
      <c r="B58" s="52" t="s">
        <v>121</v>
      </c>
      <c r="C58" s="6">
        <v>2544339.16</v>
      </c>
      <c r="D58" s="80">
        <v>2362981.59</v>
      </c>
      <c r="E58" s="6">
        <f t="shared" si="5"/>
        <v>-181357.57</v>
      </c>
      <c r="F58" s="7">
        <f t="shared" si="7"/>
        <v>-18.135757</v>
      </c>
      <c r="G58" s="51"/>
      <c r="H58" s="51" t="s">
        <v>122</v>
      </c>
      <c r="I58" s="34">
        <f t="shared" si="6"/>
        <v>0</v>
      </c>
      <c r="J58" s="56"/>
      <c r="K58" s="56"/>
    </row>
    <row r="59" customFormat="1" ht="25" customHeight="1" spans="1:11">
      <c r="A59" s="6">
        <v>7.6</v>
      </c>
      <c r="B59" s="52" t="s">
        <v>123</v>
      </c>
      <c r="C59" s="6">
        <v>27884.88</v>
      </c>
      <c r="D59" s="80">
        <v>17522.9</v>
      </c>
      <c r="E59" s="6">
        <f t="shared" si="5"/>
        <v>-10361.98</v>
      </c>
      <c r="F59" s="7">
        <f t="shared" si="7"/>
        <v>-1.036198</v>
      </c>
      <c r="G59" s="52"/>
      <c r="H59" s="52"/>
      <c r="I59" s="34">
        <f t="shared" si="6"/>
        <v>0</v>
      </c>
      <c r="J59" s="14"/>
      <c r="K59" s="14"/>
    </row>
    <row r="60" customFormat="1" ht="25" customHeight="1" spans="1:11">
      <c r="A60" s="6">
        <v>7.7</v>
      </c>
      <c r="B60" s="52" t="s">
        <v>124</v>
      </c>
      <c r="C60" s="6">
        <v>409743.85</v>
      </c>
      <c r="D60" s="80">
        <v>370681.97</v>
      </c>
      <c r="E60" s="6">
        <f t="shared" si="5"/>
        <v>-39061.88</v>
      </c>
      <c r="F60" s="7">
        <f t="shared" si="7"/>
        <v>-3.906188</v>
      </c>
      <c r="G60" s="51"/>
      <c r="H60" s="51" t="s">
        <v>125</v>
      </c>
      <c r="I60" s="34">
        <f t="shared" si="6"/>
        <v>0</v>
      </c>
      <c r="J60" s="56"/>
      <c r="K60" s="56"/>
    </row>
    <row r="61" customFormat="1" ht="25" customHeight="1" spans="1:11">
      <c r="A61" s="6">
        <v>7.8</v>
      </c>
      <c r="B61" s="52" t="s">
        <v>126</v>
      </c>
      <c r="C61" s="6">
        <v>16917.69</v>
      </c>
      <c r="D61" s="80">
        <v>21143.55</v>
      </c>
      <c r="E61" s="6">
        <f t="shared" si="5"/>
        <v>4225.86</v>
      </c>
      <c r="F61" s="7">
        <f t="shared" si="7"/>
        <v>0.422586</v>
      </c>
      <c r="G61" s="52"/>
      <c r="H61" s="52"/>
      <c r="I61" s="34">
        <f t="shared" si="6"/>
        <v>1</v>
      </c>
      <c r="J61" s="14"/>
      <c r="K61" s="14"/>
    </row>
    <row r="62" customFormat="1" ht="25" customHeight="1" spans="1:11">
      <c r="A62" s="6">
        <v>7.9</v>
      </c>
      <c r="B62" s="52" t="s">
        <v>127</v>
      </c>
      <c r="C62" s="6">
        <v>1052733.23</v>
      </c>
      <c r="D62" s="80">
        <v>924997.42</v>
      </c>
      <c r="E62" s="6">
        <f t="shared" si="5"/>
        <v>-127735.81</v>
      </c>
      <c r="F62" s="7">
        <f t="shared" si="7"/>
        <v>-12.773581</v>
      </c>
      <c r="G62" s="51"/>
      <c r="H62" s="51" t="s">
        <v>128</v>
      </c>
      <c r="I62" s="34">
        <f t="shared" si="6"/>
        <v>0</v>
      </c>
      <c r="J62" s="56"/>
      <c r="K62" s="56"/>
    </row>
    <row r="63" customFormat="1" ht="25" customHeight="1" spans="1:14">
      <c r="A63" s="6">
        <v>8</v>
      </c>
      <c r="B63" s="52" t="s">
        <v>131</v>
      </c>
      <c r="C63" s="6">
        <f>SUM(C64:C68)</f>
        <v>8799715.61</v>
      </c>
      <c r="D63" s="77">
        <f>SUM(D64:D68)</f>
        <v>8449275.78</v>
      </c>
      <c r="E63" s="6">
        <f t="shared" si="5"/>
        <v>-350439.83</v>
      </c>
      <c r="F63" s="7">
        <f t="shared" si="7"/>
        <v>-35.043983</v>
      </c>
      <c r="G63" s="43"/>
      <c r="H63" s="43"/>
      <c r="I63" s="34"/>
      <c r="J63" s="57"/>
      <c r="K63" s="57"/>
      <c r="M63">
        <f>260000-26000</f>
        <v>234000</v>
      </c>
      <c r="N63">
        <v>234000</v>
      </c>
    </row>
    <row r="64" customFormat="1" ht="25" customHeight="1" spans="1:14">
      <c r="A64" s="6">
        <v>8.1</v>
      </c>
      <c r="B64" s="51" t="s">
        <v>132</v>
      </c>
      <c r="C64" s="6">
        <v>5061584.67</v>
      </c>
      <c r="D64" s="80">
        <v>3446290.62</v>
      </c>
      <c r="E64" s="6">
        <f t="shared" si="5"/>
        <v>-1615294.05</v>
      </c>
      <c r="F64" s="7">
        <f t="shared" si="7"/>
        <v>-161.529405</v>
      </c>
      <c r="G64" s="51"/>
      <c r="H64" s="51" t="s">
        <v>167</v>
      </c>
      <c r="I64" s="34">
        <f t="shared" si="6"/>
        <v>0</v>
      </c>
      <c r="J64" s="56"/>
      <c r="K64" s="56"/>
      <c r="N64">
        <f>28*5%</f>
        <v>1.4</v>
      </c>
    </row>
    <row r="65" customFormat="1" ht="25" customHeight="1" spans="1:12">
      <c r="A65" s="6">
        <v>8.2</v>
      </c>
      <c r="B65" s="52" t="s">
        <v>134</v>
      </c>
      <c r="C65" s="6">
        <v>2067276.06</v>
      </c>
      <c r="D65" s="80">
        <v>3361296.67</v>
      </c>
      <c r="E65" s="6">
        <f t="shared" si="5"/>
        <v>1294020.61</v>
      </c>
      <c r="F65" s="7">
        <f t="shared" si="7"/>
        <v>129.402061</v>
      </c>
      <c r="G65" s="51"/>
      <c r="H65" s="51" t="s">
        <v>168</v>
      </c>
      <c r="I65" s="34">
        <f t="shared" si="6"/>
        <v>1</v>
      </c>
      <c r="J65" s="56"/>
      <c r="K65" s="56"/>
      <c r="L65">
        <v>340176066.02</v>
      </c>
    </row>
    <row r="66" customFormat="1" ht="25" customHeight="1" spans="1:14">
      <c r="A66" s="6">
        <v>8.3</v>
      </c>
      <c r="B66" s="52" t="s">
        <v>136</v>
      </c>
      <c r="C66" s="6">
        <v>1374198.21</v>
      </c>
      <c r="D66" s="77">
        <v>1303369.91</v>
      </c>
      <c r="E66" s="6">
        <f t="shared" si="5"/>
        <v>-70828.3</v>
      </c>
      <c r="F66" s="7">
        <f t="shared" si="7"/>
        <v>-7.08283</v>
      </c>
      <c r="G66" s="51"/>
      <c r="H66" s="51" t="s">
        <v>169</v>
      </c>
      <c r="I66" s="34">
        <f t="shared" si="6"/>
        <v>0</v>
      </c>
      <c r="J66" s="56"/>
      <c r="K66" s="56"/>
      <c r="N66">
        <v>34889802.83</v>
      </c>
    </row>
    <row r="67" customFormat="1" ht="25" customHeight="1" spans="1:14">
      <c r="A67" s="6">
        <v>8.4</v>
      </c>
      <c r="B67" s="52" t="s">
        <v>138</v>
      </c>
      <c r="C67" s="6">
        <v>98727.19</v>
      </c>
      <c r="D67" s="80">
        <v>114969.04</v>
      </c>
      <c r="E67" s="6">
        <f t="shared" si="5"/>
        <v>16241.85</v>
      </c>
      <c r="F67" s="7">
        <f t="shared" si="7"/>
        <v>1.624185</v>
      </c>
      <c r="G67" s="51"/>
      <c r="H67" s="51"/>
      <c r="I67" s="34">
        <f t="shared" si="6"/>
        <v>1</v>
      </c>
      <c r="J67" s="56"/>
      <c r="K67" s="56"/>
      <c r="N67">
        <v>19979785.96</v>
      </c>
    </row>
    <row r="68" customFormat="1" ht="25" customHeight="1" spans="1:14">
      <c r="A68" s="6">
        <v>8.5</v>
      </c>
      <c r="B68" s="52" t="s">
        <v>138</v>
      </c>
      <c r="C68" s="6">
        <v>197929.48</v>
      </c>
      <c r="D68" s="80">
        <v>223349.54</v>
      </c>
      <c r="E68" s="6">
        <f t="shared" si="5"/>
        <v>25420.06</v>
      </c>
      <c r="F68" s="7">
        <f t="shared" si="7"/>
        <v>2.542006</v>
      </c>
      <c r="G68" s="51"/>
      <c r="H68" s="51"/>
      <c r="I68" s="34">
        <f t="shared" si="6"/>
        <v>1</v>
      </c>
      <c r="J68" s="56"/>
      <c r="K68" s="56"/>
      <c r="N68">
        <f>N66-N67</f>
        <v>14910016.87</v>
      </c>
    </row>
    <row r="69" s="11" customFormat="1" ht="25" customHeight="1" spans="1:11">
      <c r="A69" s="28" t="s">
        <v>139</v>
      </c>
      <c r="B69" s="29" t="s">
        <v>144</v>
      </c>
      <c r="C69" s="28">
        <f>(C13+C5)*3%</f>
        <v>10424751.7131</v>
      </c>
      <c r="D69" s="30">
        <f>(D13+D5)*3%</f>
        <v>10060740.4419</v>
      </c>
      <c r="E69" s="30">
        <f>(E13+E5)*3%</f>
        <v>-364011.2712</v>
      </c>
      <c r="F69" s="30">
        <f t="shared" si="7"/>
        <v>-36.40112712</v>
      </c>
      <c r="G69" s="29"/>
      <c r="H69" s="29"/>
      <c r="I69" s="34">
        <f t="shared" si="6"/>
        <v>0</v>
      </c>
      <c r="J69" s="71"/>
      <c r="K69" s="71"/>
    </row>
    <row r="70" s="11" customFormat="1" ht="25" customHeight="1" spans="1:12">
      <c r="A70" s="25" t="s">
        <v>177</v>
      </c>
      <c r="B70" s="28" t="s">
        <v>145</v>
      </c>
      <c r="C70" s="27">
        <f>C13+C5+C69</f>
        <v>357916475.4831</v>
      </c>
      <c r="D70" s="27">
        <f>D13+D5+D69</f>
        <v>345418755.1719</v>
      </c>
      <c r="E70" s="27">
        <f>E13+E5+E69</f>
        <v>-12497720.3112</v>
      </c>
      <c r="F70" s="27">
        <f t="shared" si="7"/>
        <v>-1249.77203112</v>
      </c>
      <c r="G70" s="29"/>
      <c r="H70" s="29"/>
      <c r="I70" s="71"/>
      <c r="J70" s="71"/>
      <c r="K70" s="71"/>
      <c r="L70" s="11">
        <v>340176066.019448</v>
      </c>
    </row>
    <row r="71" ht="36" customHeight="1" spans="12:12">
      <c r="L71">
        <v>14608810.19</v>
      </c>
    </row>
    <row r="72" ht="36" customHeight="1" spans="3:13">
      <c r="C72">
        <v>5951024</v>
      </c>
      <c r="D72" s="38">
        <v>8997866.44</v>
      </c>
      <c r="F72" s="15">
        <f>F70*10000</f>
        <v>-12497720.3112</v>
      </c>
      <c r="G72" s="17">
        <v>-18933901.2473856</v>
      </c>
      <c r="L72">
        <v>-32553743.5536068</v>
      </c>
      <c r="M72">
        <v>340175786.483</v>
      </c>
    </row>
    <row r="73" ht="36" customHeight="1" spans="5:7">
      <c r="E73">
        <v>-17944933.3636068</v>
      </c>
      <c r="F73" s="15">
        <v>-12431509.5319</v>
      </c>
      <c r="G73" s="17">
        <f>F72/C70</f>
        <v>-0.0349179799402392</v>
      </c>
    </row>
    <row r="74" ht="36" customHeight="1" spans="4:4">
      <c r="D74" s="38">
        <v>345484965.9512</v>
      </c>
    </row>
    <row r="75" ht="36" customHeight="1"/>
    <row r="76" ht="36" customHeight="1" spans="5:5">
      <c r="E76">
        <v>338982574.24</v>
      </c>
    </row>
    <row r="77" ht="36" customHeight="1"/>
    <row r="78" ht="36" customHeight="1"/>
    <row r="79" ht="36" customHeight="1"/>
    <row r="80" ht="36" customHeight="1"/>
    <row r="81" ht="36" customHeight="1"/>
    <row r="82" ht="36" customHeight="1"/>
    <row r="83" ht="36" customHeight="1"/>
    <row r="84" ht="36" customHeight="1"/>
    <row r="85" ht="36" customHeight="1"/>
    <row r="86" ht="36" customHeight="1"/>
    <row r="87" ht="36" customHeight="1"/>
    <row r="88" ht="36" customHeight="1"/>
    <row r="89" ht="36" customHeight="1"/>
    <row r="99" spans="5:7">
      <c r="E99" s="15">
        <f>SUBTOTAL(9,E6:E72)</f>
        <v>-27961755.3624</v>
      </c>
      <c r="F99" s="15">
        <f>SUBTOTAL(9,F6:F72)</f>
        <v>-12500516.4867362</v>
      </c>
      <c r="G99" s="17">
        <v>-30314538.3719</v>
      </c>
    </row>
    <row r="100" spans="7:7">
      <c r="G100" s="17">
        <v>17883028.84</v>
      </c>
    </row>
  </sheetData>
  <autoFilter ref="I1:I89">
    <extLst/>
  </autoFilter>
  <mergeCells count="10">
    <mergeCell ref="A1:G1"/>
    <mergeCell ref="A2:D2"/>
    <mergeCell ref="Q13:R13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751388888888889" right="0.751388888888889" top="0.590277777777778" bottom="0.629861111111111" header="0.5" footer="0.393055555555556"/>
  <pageSetup paperSize="9" orientation="landscape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L109"/>
  <sheetViews>
    <sheetView workbookViewId="0">
      <pane ySplit="4" topLeftCell="A76" activePane="bottomLeft" state="frozen"/>
      <selection/>
      <selection pane="bottomLeft" activeCell="D88" sqref="D88"/>
    </sheetView>
  </sheetViews>
  <sheetFormatPr defaultColWidth="9" defaultRowHeight="14"/>
  <cols>
    <col min="1" max="1" width="6.75454545454545" style="12" customWidth="1"/>
    <col min="2" max="2" width="20.3727272727273" customWidth="1"/>
    <col min="3" max="3" width="13.8727272727273" customWidth="1"/>
    <col min="4" max="4" width="15.5" style="38" customWidth="1"/>
    <col min="5" max="5" width="15.6272727272727" customWidth="1"/>
    <col min="6" max="6" width="15.8727272727273" style="15" customWidth="1"/>
    <col min="7" max="7" width="43.6272727272727" style="17" customWidth="1"/>
    <col min="8" max="8" width="19.7545454545455" style="17" customWidth="1"/>
    <col min="9" max="9" width="17.1272727272727" customWidth="1"/>
    <col min="10" max="12" width="14.1272727272727"/>
    <col min="13" max="13" width="10.3727272727273"/>
  </cols>
  <sheetData>
    <row r="1" ht="25.5" spans="1:8">
      <c r="A1" s="18" t="s">
        <v>0</v>
      </c>
      <c r="B1" s="18"/>
      <c r="C1" s="18"/>
      <c r="D1" s="39"/>
      <c r="E1" s="18"/>
      <c r="F1" s="21"/>
      <c r="G1" s="19"/>
      <c r="H1" s="19"/>
    </row>
    <row r="2" spans="1:8">
      <c r="A2" s="22" t="s">
        <v>1</v>
      </c>
      <c r="B2" s="22"/>
      <c r="C2" s="22"/>
      <c r="D2" s="23"/>
      <c r="E2" s="22"/>
      <c r="F2" s="23"/>
      <c r="G2" s="22"/>
      <c r="H2" s="22"/>
    </row>
    <row r="3" spans="1:8">
      <c r="A3" s="25" t="s">
        <v>2</v>
      </c>
      <c r="B3" s="25" t="s">
        <v>3</v>
      </c>
      <c r="C3" s="25" t="s">
        <v>4</v>
      </c>
      <c r="D3" s="27" t="s">
        <v>5</v>
      </c>
      <c r="E3" s="25" t="s">
        <v>6</v>
      </c>
      <c r="F3" s="27" t="s">
        <v>7</v>
      </c>
      <c r="G3" s="25" t="s">
        <v>8</v>
      </c>
      <c r="H3" s="40"/>
    </row>
    <row r="4" spans="1:8">
      <c r="A4" s="25"/>
      <c r="B4" s="25"/>
      <c r="C4" s="25"/>
      <c r="D4" s="27"/>
      <c r="E4" s="25"/>
      <c r="F4" s="27"/>
      <c r="G4" s="25"/>
      <c r="H4" s="40"/>
    </row>
    <row r="5" s="1" customFormat="1" ht="29" customHeight="1" spans="1:8">
      <c r="A5" s="41" t="s">
        <v>9</v>
      </c>
      <c r="B5" s="42" t="s">
        <v>10</v>
      </c>
      <c r="C5" s="28">
        <f>C6+C9+C10+C27+C28</f>
        <v>300271531</v>
      </c>
      <c r="D5" s="30">
        <f>D6+D9+D10+D27+D28</f>
        <v>285640934.74692</v>
      </c>
      <c r="E5" s="43">
        <f t="shared" ref="E5:E10" si="0">D5-C5</f>
        <v>-14630596.25308</v>
      </c>
      <c r="F5" s="31">
        <f t="shared" ref="F5:F68" si="1">E5/10000</f>
        <v>-1463.059625308</v>
      </c>
      <c r="G5" s="32" t="s">
        <v>146</v>
      </c>
      <c r="H5" s="44"/>
    </row>
    <row r="6" s="1" customFormat="1" ht="111" customHeight="1" spans="1:12">
      <c r="A6" s="41" t="s">
        <v>12</v>
      </c>
      <c r="B6" s="45" t="s">
        <v>13</v>
      </c>
      <c r="C6" s="42">
        <f>SUM(C7:C8)</f>
        <v>10029515</v>
      </c>
      <c r="D6" s="46">
        <f>SUM(D7:D8)</f>
        <v>9810257.01692</v>
      </c>
      <c r="E6" s="31">
        <f t="shared" si="0"/>
        <v>-219257.983080002</v>
      </c>
      <c r="F6" s="31">
        <f t="shared" si="1"/>
        <v>-21.9257983080002</v>
      </c>
      <c r="G6" s="34" t="s">
        <v>195</v>
      </c>
      <c r="H6" s="1">
        <f>E6+E10+E27</f>
        <v>-28444092.71308</v>
      </c>
      <c r="I6" s="1">
        <f>F6+F10+F27</f>
        <v>-2844.409271308</v>
      </c>
      <c r="J6" s="1">
        <f>D6-上次发出稿!D6</f>
        <v>40087.0547999982</v>
      </c>
      <c r="K6" s="1">
        <f>D5+D80+D87</f>
        <v>297192322.38692</v>
      </c>
      <c r="L6" s="1">
        <f>K6-D8</f>
        <v>296008289.23</v>
      </c>
    </row>
    <row r="7" s="1" customFormat="1" ht="48" customHeight="1" outlineLevel="1" spans="1:11">
      <c r="A7" s="41">
        <v>1.1</v>
      </c>
      <c r="B7" s="45" t="s">
        <v>148</v>
      </c>
      <c r="C7" s="42">
        <v>9102082.7</v>
      </c>
      <c r="D7" s="30">
        <v>8626223.86</v>
      </c>
      <c r="E7" s="43">
        <f t="shared" si="0"/>
        <v>-475858.84</v>
      </c>
      <c r="F7" s="31">
        <f t="shared" si="1"/>
        <v>-47.585884</v>
      </c>
      <c r="G7" s="25" t="s">
        <v>149</v>
      </c>
      <c r="H7" s="40"/>
      <c r="I7" s="1">
        <f>F8+F28</f>
        <v>210.229609692</v>
      </c>
      <c r="J7" s="1">
        <f>D7-上次发出稿!D7</f>
        <v>-8564.75999999978</v>
      </c>
      <c r="K7" s="1">
        <f>227*229</f>
        <v>51983</v>
      </c>
    </row>
    <row r="8" s="1" customFormat="1" ht="48" customHeight="1" outlineLevel="1" spans="1:11">
      <c r="A8" s="41">
        <v>1.2</v>
      </c>
      <c r="B8" s="45" t="s">
        <v>17</v>
      </c>
      <c r="C8" s="42">
        <v>927432.3</v>
      </c>
      <c r="D8" s="30">
        <f>(D87+D7+D9+D10+D27+D28+D79)*0.4%</f>
        <v>1184033.15692</v>
      </c>
      <c r="E8" s="43">
        <f t="shared" si="0"/>
        <v>256600.85692</v>
      </c>
      <c r="F8" s="31">
        <f t="shared" si="1"/>
        <v>25.660085692</v>
      </c>
      <c r="G8" s="25" t="s">
        <v>18</v>
      </c>
      <c r="H8" s="40"/>
      <c r="J8" s="1">
        <f>D8-上次发出稿!D8</f>
        <v>48651.8147999998</v>
      </c>
      <c r="K8" s="1">
        <f>D7+D9+D10+D27+D28+D87+D79</f>
        <v>296008289.23</v>
      </c>
    </row>
    <row r="9" s="1" customFormat="1" ht="50" customHeight="1" spans="1:12">
      <c r="A9" s="41" t="s">
        <v>19</v>
      </c>
      <c r="B9" s="45" t="s">
        <v>20</v>
      </c>
      <c r="C9" s="42">
        <v>16808890</v>
      </c>
      <c r="D9" s="30">
        <v>28776691.22</v>
      </c>
      <c r="E9" s="43">
        <f t="shared" si="0"/>
        <v>11967801.22</v>
      </c>
      <c r="F9" s="31">
        <f t="shared" si="1"/>
        <v>1196.780122</v>
      </c>
      <c r="G9" s="25" t="s">
        <v>196</v>
      </c>
      <c r="H9" s="35">
        <f>E9+E28</f>
        <v>13813496.46</v>
      </c>
      <c r="I9" s="35">
        <f>F9+F28</f>
        <v>1381.349646</v>
      </c>
      <c r="J9" s="1">
        <f>D9-上次发出稿!D9</f>
        <v>10744145.19</v>
      </c>
      <c r="L9" s="1">
        <v>6686624.8</v>
      </c>
    </row>
    <row r="10" s="1" customFormat="1" ht="75" customHeight="1" spans="1:12">
      <c r="A10" s="41" t="s">
        <v>23</v>
      </c>
      <c r="B10" s="45" t="s">
        <v>24</v>
      </c>
      <c r="C10" s="42">
        <v>171318408</v>
      </c>
      <c r="D10" s="30">
        <v>161022361.25</v>
      </c>
      <c r="E10" s="43">
        <f t="shared" si="0"/>
        <v>-10296046.75</v>
      </c>
      <c r="F10" s="31">
        <f t="shared" si="1"/>
        <v>-1029.604675</v>
      </c>
      <c r="G10" s="25" t="s">
        <v>197</v>
      </c>
      <c r="H10" s="40"/>
      <c r="I10" s="35"/>
      <c r="J10" s="1">
        <f>D10-上次发出稿!D10</f>
        <v>-1201664.75999999</v>
      </c>
      <c r="L10" s="1">
        <f>L9+L6</f>
        <v>302694914.03</v>
      </c>
    </row>
    <row r="11" s="1" customFormat="1" ht="48" customHeight="1" outlineLevel="1" spans="1:10">
      <c r="A11" s="41">
        <v>3.1</v>
      </c>
      <c r="B11" s="45" t="s">
        <v>27</v>
      </c>
      <c r="C11" s="42"/>
      <c r="D11" s="30">
        <f>SUM(D12:D17)</f>
        <v>48395062.6</v>
      </c>
      <c r="E11" s="28"/>
      <c r="F11" s="31">
        <f t="shared" si="1"/>
        <v>0</v>
      </c>
      <c r="G11" s="28"/>
      <c r="H11" s="20"/>
      <c r="I11" s="35"/>
      <c r="J11" s="1">
        <f>D11-上次发出稿!D11</f>
        <v>-1693379.48</v>
      </c>
    </row>
    <row r="12" ht="48" customHeight="1" outlineLevel="1" spans="1:10">
      <c r="A12" s="47">
        <v>3.11</v>
      </c>
      <c r="B12" s="48" t="s">
        <v>28</v>
      </c>
      <c r="C12" s="49"/>
      <c r="D12" s="27">
        <v>21463361.82</v>
      </c>
      <c r="E12" s="25"/>
      <c r="F12" s="31">
        <f t="shared" si="1"/>
        <v>0</v>
      </c>
      <c r="G12" s="25"/>
      <c r="H12" s="40"/>
      <c r="I12" s="36"/>
      <c r="J12" s="1">
        <f>D12-上次发出稿!D12</f>
        <v>-836074.539999999</v>
      </c>
    </row>
    <row r="13" ht="48" customHeight="1" outlineLevel="1" spans="1:12">
      <c r="A13" s="47">
        <v>3.12</v>
      </c>
      <c r="B13" s="48" t="s">
        <v>29</v>
      </c>
      <c r="C13" s="49"/>
      <c r="D13" s="27">
        <v>14232145.68</v>
      </c>
      <c r="E13" s="25"/>
      <c r="F13" s="31">
        <f t="shared" si="1"/>
        <v>0</v>
      </c>
      <c r="G13" s="25"/>
      <c r="H13" s="40"/>
      <c r="I13" s="36"/>
      <c r="J13" s="1">
        <f>D13-上次发出稿!D13</f>
        <v>-440769.34</v>
      </c>
      <c r="K13">
        <v>350000000</v>
      </c>
      <c r="L13">
        <f>K13*0.45%</f>
        <v>1575000</v>
      </c>
    </row>
    <row r="14" ht="48" customHeight="1" outlineLevel="1" spans="1:10">
      <c r="A14" s="47">
        <v>3.13</v>
      </c>
      <c r="B14" s="48" t="s">
        <v>30</v>
      </c>
      <c r="C14" s="49"/>
      <c r="D14" s="27">
        <v>1065076.87</v>
      </c>
      <c r="E14" s="25"/>
      <c r="F14" s="31">
        <f t="shared" si="1"/>
        <v>0</v>
      </c>
      <c r="G14" s="25"/>
      <c r="H14" s="40"/>
      <c r="I14" s="36"/>
      <c r="J14" s="1">
        <f>D14-上次发出稿!D14</f>
        <v>24206.1900000001</v>
      </c>
    </row>
    <row r="15" ht="48" customHeight="1" outlineLevel="1" spans="1:10">
      <c r="A15" s="47">
        <v>3.14</v>
      </c>
      <c r="B15" s="48" t="s">
        <v>31</v>
      </c>
      <c r="C15" s="49"/>
      <c r="D15" s="27">
        <v>944654.44</v>
      </c>
      <c r="E15" s="25"/>
      <c r="F15" s="31">
        <f t="shared" si="1"/>
        <v>0</v>
      </c>
      <c r="G15" s="25"/>
      <c r="H15" s="40"/>
      <c r="I15" s="36"/>
      <c r="J15" s="1">
        <f>D15-上次发出稿!D15</f>
        <v>-622.900000000023</v>
      </c>
    </row>
    <row r="16" ht="48" customHeight="1" outlineLevel="1" spans="1:10">
      <c r="A16" s="47">
        <v>3.15</v>
      </c>
      <c r="B16" s="48" t="s">
        <v>32</v>
      </c>
      <c r="C16" s="49"/>
      <c r="D16" s="27">
        <v>166357.74</v>
      </c>
      <c r="E16" s="25"/>
      <c r="F16" s="31">
        <f t="shared" si="1"/>
        <v>0</v>
      </c>
      <c r="G16" s="25"/>
      <c r="H16" s="40"/>
      <c r="I16" s="36"/>
      <c r="J16" s="1">
        <f>D16-上次发出稿!D16</f>
        <v>-3866.73000000001</v>
      </c>
    </row>
    <row r="17" ht="48" customHeight="1" outlineLevel="1" spans="1:10">
      <c r="A17" s="47">
        <v>3.16</v>
      </c>
      <c r="B17" s="48" t="s">
        <v>33</v>
      </c>
      <c r="C17" s="49"/>
      <c r="D17" s="27">
        <v>10523466.05</v>
      </c>
      <c r="E17" s="25"/>
      <c r="F17" s="31">
        <f t="shared" si="1"/>
        <v>0</v>
      </c>
      <c r="G17" s="25"/>
      <c r="H17" s="40"/>
      <c r="I17" s="36"/>
      <c r="J17" s="1">
        <f>D17-上次发出稿!D17</f>
        <v>-436252.16</v>
      </c>
    </row>
    <row r="18" s="1" customFormat="1" ht="48" customHeight="1" outlineLevel="1" spans="1:10">
      <c r="A18" s="41">
        <v>3.2</v>
      </c>
      <c r="B18" s="45" t="s">
        <v>34</v>
      </c>
      <c r="C18" s="42"/>
      <c r="D18" s="30">
        <f>SUM(D19:D26)</f>
        <v>109392483.07</v>
      </c>
      <c r="E18" s="28"/>
      <c r="F18" s="31">
        <f t="shared" si="1"/>
        <v>0</v>
      </c>
      <c r="G18" s="28"/>
      <c r="H18" s="20"/>
      <c r="I18" s="35"/>
      <c r="J18" s="1">
        <f>D18-上次发出稿!D18</f>
        <v>-2743100.86000001</v>
      </c>
    </row>
    <row r="19" ht="48" customHeight="1" outlineLevel="1" spans="1:10">
      <c r="A19" s="47">
        <v>3.21</v>
      </c>
      <c r="B19" s="48" t="s">
        <v>35</v>
      </c>
      <c r="C19" s="49"/>
      <c r="D19" s="27">
        <v>36269372.73</v>
      </c>
      <c r="E19" s="25"/>
      <c r="F19" s="31">
        <f t="shared" si="1"/>
        <v>0</v>
      </c>
      <c r="G19" s="25"/>
      <c r="H19" s="40"/>
      <c r="I19" s="36"/>
      <c r="J19" s="1">
        <f>D19-上次发出稿!D19</f>
        <v>28864.0399999991</v>
      </c>
    </row>
    <row r="20" ht="48" customHeight="1" outlineLevel="1" spans="1:10">
      <c r="A20" s="47">
        <v>3.22</v>
      </c>
      <c r="B20" s="48" t="s">
        <v>36</v>
      </c>
      <c r="C20" s="49"/>
      <c r="D20" s="27">
        <v>312518.94</v>
      </c>
      <c r="E20" s="25"/>
      <c r="F20" s="31">
        <f t="shared" si="1"/>
        <v>0</v>
      </c>
      <c r="G20" s="25"/>
      <c r="H20" s="40"/>
      <c r="I20" s="36"/>
      <c r="J20" s="1">
        <f>D20-上次发出稿!D20</f>
        <v>-91.4500000000116</v>
      </c>
    </row>
    <row r="21" ht="48" customHeight="1" outlineLevel="1" spans="1:10">
      <c r="A21" s="47">
        <v>3.23</v>
      </c>
      <c r="B21" s="48" t="s">
        <v>37</v>
      </c>
      <c r="C21" s="49"/>
      <c r="D21" s="27">
        <v>43432201.28</v>
      </c>
      <c r="E21" s="25"/>
      <c r="F21" s="31">
        <f t="shared" si="1"/>
        <v>0</v>
      </c>
      <c r="G21" s="25"/>
      <c r="H21" s="40"/>
      <c r="I21" s="36"/>
      <c r="J21" s="1">
        <f>D21-上次发出稿!D21</f>
        <v>-2077353.79</v>
      </c>
    </row>
    <row r="22" ht="48" customHeight="1" outlineLevel="1" spans="1:10">
      <c r="A22" s="47">
        <v>3.24</v>
      </c>
      <c r="B22" s="48" t="s">
        <v>38</v>
      </c>
      <c r="C22" s="49"/>
      <c r="D22" s="27">
        <v>692368.8</v>
      </c>
      <c r="E22" s="25"/>
      <c r="F22" s="31">
        <f t="shared" si="1"/>
        <v>0</v>
      </c>
      <c r="G22" s="25"/>
      <c r="H22" s="40"/>
      <c r="I22" s="36"/>
      <c r="J22" s="1">
        <f>D22-上次发出稿!D22</f>
        <v>-3408.94999999995</v>
      </c>
    </row>
    <row r="23" ht="48" customHeight="1" outlineLevel="1" spans="1:10">
      <c r="A23" s="47">
        <v>3.25</v>
      </c>
      <c r="B23" s="48" t="s">
        <v>39</v>
      </c>
      <c r="C23" s="49"/>
      <c r="D23" s="27">
        <v>8203518.09</v>
      </c>
      <c r="E23" s="25"/>
      <c r="F23" s="31">
        <f t="shared" si="1"/>
        <v>0</v>
      </c>
      <c r="G23" s="25"/>
      <c r="H23" s="40"/>
      <c r="I23" s="36"/>
      <c r="J23" s="1">
        <f>D23-上次发出稿!D23</f>
        <v>-76417.29</v>
      </c>
    </row>
    <row r="24" ht="48" customHeight="1" outlineLevel="1" spans="1:10">
      <c r="A24" s="47">
        <v>3.26</v>
      </c>
      <c r="B24" s="48" t="s">
        <v>40</v>
      </c>
      <c r="C24" s="49"/>
      <c r="D24" s="27">
        <v>18124039.62</v>
      </c>
      <c r="E24" s="25"/>
      <c r="F24" s="31">
        <f t="shared" si="1"/>
        <v>0</v>
      </c>
      <c r="G24" s="25"/>
      <c r="H24" s="40"/>
      <c r="I24" s="36"/>
      <c r="J24" s="1">
        <f>D24-上次发出稿!D24</f>
        <v>-603846.469999999</v>
      </c>
    </row>
    <row r="25" ht="48" customHeight="1" outlineLevel="1" spans="1:10">
      <c r="A25" s="47">
        <v>3.27</v>
      </c>
      <c r="B25" s="48" t="s">
        <v>41</v>
      </c>
      <c r="C25" s="49"/>
      <c r="D25" s="27">
        <v>1909122.89</v>
      </c>
      <c r="E25" s="25"/>
      <c r="F25" s="31">
        <f t="shared" si="1"/>
        <v>0</v>
      </c>
      <c r="G25" s="25"/>
      <c r="H25" s="40"/>
      <c r="I25" s="36"/>
      <c r="J25" s="1">
        <f>D25-上次发出稿!D25</f>
        <v>-1010.16000000015</v>
      </c>
    </row>
    <row r="26" ht="48" customHeight="1" outlineLevel="1" spans="1:10">
      <c r="A26" s="47">
        <v>3.28</v>
      </c>
      <c r="B26" s="48" t="s">
        <v>42</v>
      </c>
      <c r="C26" s="49"/>
      <c r="D26" s="27">
        <v>449340.72</v>
      </c>
      <c r="E26" s="25"/>
      <c r="F26" s="31">
        <f t="shared" si="1"/>
        <v>0</v>
      </c>
      <c r="G26" s="25"/>
      <c r="H26" s="40"/>
      <c r="I26" s="36"/>
      <c r="J26" s="1">
        <f>D26-上次发出稿!D26</f>
        <v>-9836.79000000004</v>
      </c>
    </row>
    <row r="27" s="1" customFormat="1" ht="55" customHeight="1" spans="1:9">
      <c r="A27" s="41">
        <v>4</v>
      </c>
      <c r="B27" s="45" t="s">
        <v>43</v>
      </c>
      <c r="C27" s="42">
        <v>48121421</v>
      </c>
      <c r="D27" s="30">
        <v>30192633.02</v>
      </c>
      <c r="E27" s="43">
        <f t="shared" ref="E27:E88" si="2">D27-C27</f>
        <v>-17928787.98</v>
      </c>
      <c r="F27" s="31">
        <f t="shared" si="1"/>
        <v>-1792.878798</v>
      </c>
      <c r="G27" s="25" t="s">
        <v>198</v>
      </c>
      <c r="H27" s="40"/>
      <c r="I27" s="35"/>
    </row>
    <row r="28" s="1" customFormat="1" ht="48" customHeight="1" spans="1:9">
      <c r="A28" s="41">
        <v>5</v>
      </c>
      <c r="B28" s="45" t="s">
        <v>45</v>
      </c>
      <c r="C28" s="42">
        <v>53993297</v>
      </c>
      <c r="D28" s="30">
        <v>55838992.24</v>
      </c>
      <c r="E28" s="43">
        <f t="shared" si="2"/>
        <v>1845695.24</v>
      </c>
      <c r="F28" s="31">
        <f t="shared" si="1"/>
        <v>184.569524</v>
      </c>
      <c r="G28" s="25" t="s">
        <v>199</v>
      </c>
      <c r="H28" s="40"/>
      <c r="I28" s="35"/>
    </row>
    <row r="29" ht="48" customHeight="1" spans="1:12">
      <c r="A29" s="41" t="s">
        <v>48</v>
      </c>
      <c r="B29" s="45" t="s">
        <v>49</v>
      </c>
      <c r="C29" s="28">
        <f>C30+C37+C44+C50+C56+C62+C69+C79+C81</f>
        <v>41269168.77</v>
      </c>
      <c r="D29" s="30">
        <f>D30+D37+D44+D50+D56+D62+D69+D79+D81</f>
        <v>39899601.36</v>
      </c>
      <c r="E29" s="28">
        <f>E30+E37+E44+E50+E56+E62+E69+E79+E81</f>
        <v>-1369567.41</v>
      </c>
      <c r="F29" s="31">
        <f t="shared" si="1"/>
        <v>-136.956741</v>
      </c>
      <c r="G29" s="25" t="s">
        <v>166</v>
      </c>
      <c r="H29" s="40"/>
      <c r="J29">
        <f>D29-D79</f>
        <v>37346080.16</v>
      </c>
      <c r="L29" s="36"/>
    </row>
    <row r="30" ht="38" customHeight="1" spans="1:9">
      <c r="A30" s="4">
        <v>1</v>
      </c>
      <c r="B30" s="43" t="s">
        <v>50</v>
      </c>
      <c r="C30" s="43">
        <f>SUM(C31:C36)</f>
        <v>4571724.26</v>
      </c>
      <c r="D30" s="50">
        <f>SUM(D31:D36)</f>
        <v>3993404.14</v>
      </c>
      <c r="E30" s="43">
        <f t="shared" si="2"/>
        <v>-578320.12</v>
      </c>
      <c r="F30" s="31">
        <f t="shared" si="1"/>
        <v>-57.832012</v>
      </c>
      <c r="G30" s="51"/>
      <c r="H30">
        <f>E31+E38+E46+E52+E64+E70+E77+E80+E83+E84+E85+E86+E39+E58+E65+E41</f>
        <v>2878006.82</v>
      </c>
      <c r="I30">
        <f>F31+F38+F46+F52+F64+F70+F77+F80+F83+F84+F85+F86+F39+F58+F65+F41</f>
        <v>287.800682</v>
      </c>
    </row>
    <row r="31" ht="63" customHeight="1" spans="1:9">
      <c r="A31" s="6">
        <v>1.1</v>
      </c>
      <c r="B31" s="52" t="s">
        <v>51</v>
      </c>
      <c r="C31" s="6">
        <v>800792.51</v>
      </c>
      <c r="D31" s="53">
        <v>868381.81</v>
      </c>
      <c r="E31" s="52">
        <f t="shared" si="2"/>
        <v>67589.3</v>
      </c>
      <c r="F31" s="33">
        <f t="shared" si="1"/>
        <v>6.75893</v>
      </c>
      <c r="G31" s="54" t="s">
        <v>52</v>
      </c>
      <c r="H31">
        <f>E32+E33+E34+E35+E36+E40+E42+E43+E45+E47+E48+E49+E51+E53+E54+E55+E57+E59+E60+E61+E63+E66+E67+E68+E71+E72+E73+E74+E75+E76+E78+E82</f>
        <v>-4247574.23</v>
      </c>
      <c r="I31">
        <f>F32+F33+F34+F35+F36+F40+F42+F43+F45+F47+F48+F49+F51+F53+F54+F55+F57+F59+F60+F61+F63+F66+F67+F68+F71+F72+F73+F74+F75+F76+F78+F82</f>
        <v>-424.757423</v>
      </c>
    </row>
    <row r="32" ht="46" customHeight="1" spans="1:9">
      <c r="A32" s="6">
        <v>1.2</v>
      </c>
      <c r="B32" s="52" t="s">
        <v>53</v>
      </c>
      <c r="C32" s="6">
        <v>3664352.89</v>
      </c>
      <c r="D32" s="53">
        <v>3044970.44</v>
      </c>
      <c r="E32" s="52">
        <f t="shared" si="2"/>
        <v>-619382.45</v>
      </c>
      <c r="F32" s="33">
        <f t="shared" si="1"/>
        <v>-61.938245</v>
      </c>
      <c r="G32" s="54" t="s">
        <v>54</v>
      </c>
      <c r="H32" s="55"/>
      <c r="I32">
        <f>I31+I30-F29</f>
        <v>-4.83169060316868e-13</v>
      </c>
    </row>
    <row r="33" ht="38" customHeight="1" spans="1:8">
      <c r="A33" s="6">
        <v>1.3</v>
      </c>
      <c r="B33" s="52" t="s">
        <v>56</v>
      </c>
      <c r="C33" s="6">
        <v>58020.71</v>
      </c>
      <c r="D33" s="53">
        <v>35089.54</v>
      </c>
      <c r="E33" s="52">
        <f t="shared" si="2"/>
        <v>-22931.17</v>
      </c>
      <c r="F33" s="33">
        <f t="shared" si="1"/>
        <v>-2.293117</v>
      </c>
      <c r="G33" s="54" t="s">
        <v>57</v>
      </c>
      <c r="H33" s="55"/>
    </row>
    <row r="34" ht="38" customHeight="1" spans="1:8">
      <c r="A34" s="6">
        <v>1.4</v>
      </c>
      <c r="B34" s="52" t="s">
        <v>58</v>
      </c>
      <c r="C34" s="6">
        <v>42259.41</v>
      </c>
      <c r="D34" s="53">
        <v>41990.42</v>
      </c>
      <c r="E34" s="52">
        <f t="shared" si="2"/>
        <v>-268.990000000005</v>
      </c>
      <c r="F34" s="33">
        <f t="shared" si="1"/>
        <v>-0.0268990000000005</v>
      </c>
      <c r="G34" s="52"/>
      <c r="H34" s="14"/>
    </row>
    <row r="35" ht="38" customHeight="1" spans="1:8">
      <c r="A35" s="6">
        <v>1.5</v>
      </c>
      <c r="B35" s="52" t="s">
        <v>60</v>
      </c>
      <c r="C35" s="6">
        <v>3713.85</v>
      </c>
      <c r="D35" s="53">
        <v>1684.46</v>
      </c>
      <c r="E35" s="52">
        <f t="shared" si="2"/>
        <v>-2029.39</v>
      </c>
      <c r="F35" s="33">
        <f t="shared" si="1"/>
        <v>-0.202939</v>
      </c>
      <c r="G35" s="54" t="s">
        <v>61</v>
      </c>
      <c r="H35" s="55"/>
    </row>
    <row r="36" ht="38" customHeight="1" spans="1:8">
      <c r="A36" s="6">
        <v>1.6</v>
      </c>
      <c r="B36" s="52" t="s">
        <v>62</v>
      </c>
      <c r="C36" s="6">
        <v>2584.89</v>
      </c>
      <c r="D36" s="53">
        <v>1287.47</v>
      </c>
      <c r="E36" s="52">
        <f t="shared" si="2"/>
        <v>-1297.42</v>
      </c>
      <c r="F36" s="33">
        <f t="shared" si="1"/>
        <v>-0.129742</v>
      </c>
      <c r="G36" s="54" t="s">
        <v>63</v>
      </c>
      <c r="H36" s="55"/>
    </row>
    <row r="37" ht="38" customHeight="1" spans="1:8">
      <c r="A37" s="4">
        <v>2</v>
      </c>
      <c r="B37" s="43" t="s">
        <v>64</v>
      </c>
      <c r="C37" s="43">
        <f>SUM(C38:C43)</f>
        <v>1048364.5</v>
      </c>
      <c r="D37" s="50">
        <f>SUM(D38:D43)</f>
        <v>1106775.31</v>
      </c>
      <c r="E37" s="43">
        <f t="shared" si="2"/>
        <v>58410.8100000001</v>
      </c>
      <c r="F37" s="31">
        <f t="shared" si="1"/>
        <v>5.84108100000001</v>
      </c>
      <c r="G37" s="52"/>
      <c r="H37" s="14"/>
    </row>
    <row r="38" ht="38" customHeight="1" spans="1:8">
      <c r="A38" s="6">
        <v>2.1</v>
      </c>
      <c r="B38" s="52" t="s">
        <v>65</v>
      </c>
      <c r="C38" s="52">
        <v>764789.32</v>
      </c>
      <c r="D38" s="53">
        <v>820200.93</v>
      </c>
      <c r="E38" s="52">
        <f t="shared" si="2"/>
        <v>55411.6100000001</v>
      </c>
      <c r="F38" s="33">
        <f t="shared" si="1"/>
        <v>5.54116100000001</v>
      </c>
      <c r="G38" s="51" t="s">
        <v>66</v>
      </c>
      <c r="H38" s="56"/>
    </row>
    <row r="39" ht="38" customHeight="1" spans="1:8">
      <c r="A39" s="6">
        <v>2.2</v>
      </c>
      <c r="B39" s="52" t="s">
        <v>67</v>
      </c>
      <c r="C39" s="52">
        <v>213848.83</v>
      </c>
      <c r="D39" s="53">
        <v>231772.06</v>
      </c>
      <c r="E39" s="52">
        <f t="shared" si="2"/>
        <v>17923.23</v>
      </c>
      <c r="F39" s="33">
        <f t="shared" si="1"/>
        <v>1.792323</v>
      </c>
      <c r="G39" s="51" t="s">
        <v>68</v>
      </c>
      <c r="H39" s="56"/>
    </row>
    <row r="40" ht="38" customHeight="1" spans="1:8">
      <c r="A40" s="6">
        <v>2.3</v>
      </c>
      <c r="B40" s="52" t="s">
        <v>69</v>
      </c>
      <c r="C40" s="52">
        <v>48424.01</v>
      </c>
      <c r="D40" s="53">
        <v>31399.19</v>
      </c>
      <c r="E40" s="52">
        <f t="shared" si="2"/>
        <v>-17024.82</v>
      </c>
      <c r="F40" s="33">
        <f t="shared" si="1"/>
        <v>-1.702482</v>
      </c>
      <c r="G40" s="54" t="s">
        <v>70</v>
      </c>
      <c r="H40" s="55"/>
    </row>
    <row r="41" ht="38" customHeight="1" spans="1:8">
      <c r="A41" s="6">
        <v>2.4</v>
      </c>
      <c r="B41" s="52" t="s">
        <v>71</v>
      </c>
      <c r="C41" s="52">
        <v>5511.29</v>
      </c>
      <c r="D41" s="53">
        <v>8930.11</v>
      </c>
      <c r="E41" s="52">
        <f t="shared" si="2"/>
        <v>3418.82</v>
      </c>
      <c r="F41" s="33">
        <f t="shared" si="1"/>
        <v>0.341882</v>
      </c>
      <c r="G41" s="54" t="s">
        <v>72</v>
      </c>
      <c r="H41" s="55"/>
    </row>
    <row r="42" ht="38" customHeight="1" spans="1:8">
      <c r="A42" s="6">
        <v>2.5</v>
      </c>
      <c r="B42" s="52" t="s">
        <v>73</v>
      </c>
      <c r="C42" s="52">
        <v>14067.78</v>
      </c>
      <c r="D42" s="53">
        <v>13615.25</v>
      </c>
      <c r="E42" s="52">
        <f t="shared" si="2"/>
        <v>-452.530000000001</v>
      </c>
      <c r="F42" s="33">
        <f t="shared" si="1"/>
        <v>-0.0452530000000001</v>
      </c>
      <c r="G42" s="54" t="s">
        <v>74</v>
      </c>
      <c r="H42" s="55"/>
    </row>
    <row r="43" ht="38" customHeight="1" spans="1:8">
      <c r="A43" s="6">
        <v>2.6</v>
      </c>
      <c r="B43" s="52" t="s">
        <v>75</v>
      </c>
      <c r="C43" s="52">
        <v>1723.27</v>
      </c>
      <c r="D43" s="53">
        <v>857.77</v>
      </c>
      <c r="E43" s="52">
        <f t="shared" si="2"/>
        <v>-865.5</v>
      </c>
      <c r="F43" s="33">
        <f t="shared" si="1"/>
        <v>-0.08655</v>
      </c>
      <c r="G43" s="54"/>
      <c r="H43" s="55"/>
    </row>
    <row r="44" ht="38" customHeight="1" spans="1:8">
      <c r="A44" s="4">
        <v>3</v>
      </c>
      <c r="B44" s="43" t="s">
        <v>76</v>
      </c>
      <c r="C44" s="43">
        <f>SUM(C45:C49)</f>
        <v>132922.97</v>
      </c>
      <c r="D44" s="50">
        <f>SUM(D45:D49)</f>
        <v>100686.01</v>
      </c>
      <c r="E44" s="43">
        <f t="shared" si="2"/>
        <v>-32236.96</v>
      </c>
      <c r="F44" s="31">
        <f t="shared" si="1"/>
        <v>-3.223696</v>
      </c>
      <c r="G44" s="43"/>
      <c r="H44" s="57"/>
    </row>
    <row r="45" ht="48" customHeight="1" spans="1:8">
      <c r="A45" s="6">
        <v>3.1</v>
      </c>
      <c r="B45" s="52" t="s">
        <v>77</v>
      </c>
      <c r="C45" s="52">
        <v>83444.35</v>
      </c>
      <c r="D45" s="58">
        <v>60278.43</v>
      </c>
      <c r="E45" s="52">
        <f t="shared" si="2"/>
        <v>-23165.92</v>
      </c>
      <c r="F45" s="33">
        <f t="shared" si="1"/>
        <v>-2.316592</v>
      </c>
      <c r="G45" s="54" t="s">
        <v>78</v>
      </c>
      <c r="H45" s="55"/>
    </row>
    <row r="46" ht="38" customHeight="1" spans="1:8">
      <c r="A46" s="6">
        <v>3.2</v>
      </c>
      <c r="B46" s="52" t="s">
        <v>79</v>
      </c>
      <c r="C46" s="52">
        <v>19036.44</v>
      </c>
      <c r="D46" s="58">
        <v>23304.23</v>
      </c>
      <c r="E46" s="52">
        <f t="shared" si="2"/>
        <v>4267.79</v>
      </c>
      <c r="F46" s="33">
        <f t="shared" si="1"/>
        <v>0.426779</v>
      </c>
      <c r="G46" s="54" t="s">
        <v>80</v>
      </c>
      <c r="H46" s="55"/>
    </row>
    <row r="47" ht="38" customHeight="1" spans="1:8">
      <c r="A47" s="6">
        <v>3.3</v>
      </c>
      <c r="B47" s="52" t="s">
        <v>81</v>
      </c>
      <c r="C47" s="52">
        <v>3142.97</v>
      </c>
      <c r="D47" s="58">
        <v>2907.51</v>
      </c>
      <c r="E47" s="52">
        <f t="shared" si="2"/>
        <v>-235.46</v>
      </c>
      <c r="F47" s="33">
        <f t="shared" si="1"/>
        <v>-0.023546</v>
      </c>
      <c r="G47" s="52"/>
      <c r="H47" s="14"/>
    </row>
    <row r="48" ht="38" customHeight="1" spans="1:8">
      <c r="A48" s="6">
        <v>3.4</v>
      </c>
      <c r="B48" s="52" t="s">
        <v>82</v>
      </c>
      <c r="C48" s="52">
        <v>26868.4</v>
      </c>
      <c r="D48" s="58">
        <v>13981.39</v>
      </c>
      <c r="E48" s="52">
        <f t="shared" si="2"/>
        <v>-12887.01</v>
      </c>
      <c r="F48" s="33">
        <f t="shared" si="1"/>
        <v>-1.288701</v>
      </c>
      <c r="G48" s="54" t="s">
        <v>83</v>
      </c>
      <c r="H48" s="55"/>
    </row>
    <row r="49" ht="38" customHeight="1" spans="1:8">
      <c r="A49" s="6">
        <v>3.5</v>
      </c>
      <c r="B49" s="52" t="s">
        <v>84</v>
      </c>
      <c r="C49" s="52">
        <v>430.81</v>
      </c>
      <c r="D49" s="58">
        <v>214.45</v>
      </c>
      <c r="E49" s="52">
        <f t="shared" si="2"/>
        <v>-216.36</v>
      </c>
      <c r="F49" s="33">
        <f t="shared" si="1"/>
        <v>-0.021636</v>
      </c>
      <c r="G49" s="52"/>
      <c r="H49" s="14"/>
    </row>
    <row r="50" ht="38" customHeight="1" spans="1:8">
      <c r="A50" s="6">
        <v>4</v>
      </c>
      <c r="B50" s="43" t="s">
        <v>85</v>
      </c>
      <c r="C50" s="43">
        <f>SUM(C51:C55)</f>
        <v>103817.66</v>
      </c>
      <c r="D50" s="50">
        <f>SUM(D51:D55)</f>
        <v>73476.61</v>
      </c>
      <c r="E50" s="43">
        <f t="shared" si="2"/>
        <v>-30341.05</v>
      </c>
      <c r="F50" s="31">
        <f t="shared" si="1"/>
        <v>-3.034105</v>
      </c>
      <c r="G50" s="52"/>
      <c r="H50" s="14"/>
    </row>
    <row r="51" ht="38" customHeight="1" spans="1:8">
      <c r="A51" s="6">
        <v>4.1</v>
      </c>
      <c r="B51" s="52" t="s">
        <v>86</v>
      </c>
      <c r="C51" s="52">
        <v>68858.94</v>
      </c>
      <c r="D51" s="58">
        <v>40212.56</v>
      </c>
      <c r="E51" s="52">
        <f t="shared" si="2"/>
        <v>-28646.38</v>
      </c>
      <c r="F51" s="33">
        <f t="shared" si="1"/>
        <v>-2.864638</v>
      </c>
      <c r="G51" s="51" t="s">
        <v>87</v>
      </c>
      <c r="H51" s="56"/>
    </row>
    <row r="52" ht="38" customHeight="1" spans="1:8">
      <c r="A52" s="6">
        <v>4.2</v>
      </c>
      <c r="B52" s="52" t="s">
        <v>88</v>
      </c>
      <c r="C52" s="52">
        <v>13546.41</v>
      </c>
      <c r="D52" s="58">
        <v>16452.69</v>
      </c>
      <c r="E52" s="52">
        <f t="shared" si="2"/>
        <v>2906.28</v>
      </c>
      <c r="F52" s="33">
        <f t="shared" si="1"/>
        <v>0.290628</v>
      </c>
      <c r="G52" s="54" t="s">
        <v>89</v>
      </c>
      <c r="H52" s="55"/>
    </row>
    <row r="53" ht="38" customHeight="1" spans="1:8">
      <c r="A53" s="6">
        <v>4.3</v>
      </c>
      <c r="B53" s="52" t="s">
        <v>90</v>
      </c>
      <c r="C53" s="52">
        <v>3142.97</v>
      </c>
      <c r="D53" s="58">
        <v>2907.51</v>
      </c>
      <c r="E53" s="52">
        <f t="shared" si="2"/>
        <v>-235.46</v>
      </c>
      <c r="F53" s="33">
        <f t="shared" si="1"/>
        <v>-0.023546</v>
      </c>
      <c r="G53" s="52"/>
      <c r="H53" s="14"/>
    </row>
    <row r="54" ht="38" customHeight="1" spans="1:8">
      <c r="A54" s="6">
        <v>4.4</v>
      </c>
      <c r="B54" s="52" t="s">
        <v>91</v>
      </c>
      <c r="C54" s="52">
        <v>17838.53</v>
      </c>
      <c r="D54" s="58">
        <v>13689.4</v>
      </c>
      <c r="E54" s="52">
        <f t="shared" si="2"/>
        <v>-4149.13</v>
      </c>
      <c r="F54" s="33">
        <f t="shared" si="1"/>
        <v>-0.414913</v>
      </c>
      <c r="G54" s="54" t="s">
        <v>92</v>
      </c>
      <c r="H54" s="55"/>
    </row>
    <row r="55" ht="36" customHeight="1" spans="1:8">
      <c r="A55" s="6">
        <v>4.5</v>
      </c>
      <c r="B55" s="52" t="s">
        <v>93</v>
      </c>
      <c r="C55" s="52">
        <v>430.81</v>
      </c>
      <c r="D55" s="58">
        <v>214.45</v>
      </c>
      <c r="E55" s="52">
        <f t="shared" si="2"/>
        <v>-216.36</v>
      </c>
      <c r="F55" s="33">
        <f t="shared" si="1"/>
        <v>-0.021636</v>
      </c>
      <c r="G55" s="52"/>
      <c r="H55" s="14"/>
    </row>
    <row r="56" ht="36" customHeight="1" spans="1:8">
      <c r="A56" s="6">
        <v>5</v>
      </c>
      <c r="B56" s="43" t="s">
        <v>94</v>
      </c>
      <c r="C56" s="43">
        <f>SUM(C57:C61)</f>
        <v>105800.45</v>
      </c>
      <c r="D56" s="50">
        <f>SUM(D57:D61)</f>
        <v>72694.07</v>
      </c>
      <c r="E56" s="43">
        <f t="shared" si="2"/>
        <v>-33106.38</v>
      </c>
      <c r="F56" s="31">
        <f t="shared" si="1"/>
        <v>-3.310638</v>
      </c>
      <c r="G56" s="52"/>
      <c r="H56" s="14"/>
    </row>
    <row r="57" ht="36" customHeight="1" spans="1:8">
      <c r="A57" s="6">
        <v>5.1</v>
      </c>
      <c r="B57" s="52" t="s">
        <v>95</v>
      </c>
      <c r="C57" s="52">
        <v>67869.37</v>
      </c>
      <c r="D57" s="58">
        <v>38461.39</v>
      </c>
      <c r="E57" s="52">
        <f t="shared" si="2"/>
        <v>-29407.98</v>
      </c>
      <c r="F57" s="33">
        <f t="shared" si="1"/>
        <v>-2.940798</v>
      </c>
      <c r="G57" s="51" t="s">
        <v>96</v>
      </c>
      <c r="H57" s="56"/>
    </row>
    <row r="58" ht="36" customHeight="1" spans="1:8">
      <c r="A58" s="6">
        <v>5.2</v>
      </c>
      <c r="B58" s="52" t="s">
        <v>97</v>
      </c>
      <c r="C58" s="52">
        <v>13676.11</v>
      </c>
      <c r="D58" s="58">
        <v>17289.3</v>
      </c>
      <c r="E58" s="52">
        <f t="shared" si="2"/>
        <v>3613.19</v>
      </c>
      <c r="F58" s="33">
        <f t="shared" si="1"/>
        <v>0.361319</v>
      </c>
      <c r="G58" s="54" t="s">
        <v>98</v>
      </c>
      <c r="H58" s="55"/>
    </row>
    <row r="59" ht="36" customHeight="1" spans="1:8">
      <c r="A59" s="6">
        <v>5.3</v>
      </c>
      <c r="B59" s="52" t="s">
        <v>99</v>
      </c>
      <c r="C59" s="52">
        <v>3142.97</v>
      </c>
      <c r="D59" s="59">
        <v>2907.51</v>
      </c>
      <c r="E59" s="52">
        <f t="shared" si="2"/>
        <v>-235.46</v>
      </c>
      <c r="F59" s="33">
        <f t="shared" si="1"/>
        <v>-0.023546</v>
      </c>
      <c r="G59" s="52"/>
      <c r="H59" s="14"/>
    </row>
    <row r="60" ht="36" customHeight="1" spans="1:8">
      <c r="A60" s="6">
        <v>5.4</v>
      </c>
      <c r="B60" s="52" t="s">
        <v>100</v>
      </c>
      <c r="C60" s="60">
        <v>20681.19</v>
      </c>
      <c r="D60" s="61">
        <v>13821.42</v>
      </c>
      <c r="E60" s="62">
        <f t="shared" si="2"/>
        <v>-6859.77</v>
      </c>
      <c r="F60" s="33">
        <f t="shared" si="1"/>
        <v>-0.685977</v>
      </c>
      <c r="G60" s="54" t="s">
        <v>101</v>
      </c>
      <c r="H60" s="55"/>
    </row>
    <row r="61" ht="36" customHeight="1" spans="1:8">
      <c r="A61" s="6">
        <v>5.5</v>
      </c>
      <c r="B61" s="52" t="s">
        <v>102</v>
      </c>
      <c r="C61" s="60">
        <v>430.81</v>
      </c>
      <c r="D61" s="53">
        <v>214.45</v>
      </c>
      <c r="E61" s="62">
        <f t="shared" si="2"/>
        <v>-216.36</v>
      </c>
      <c r="F61" s="33">
        <f t="shared" si="1"/>
        <v>-0.021636</v>
      </c>
      <c r="G61" s="52"/>
      <c r="H61" s="14"/>
    </row>
    <row r="62" ht="36" customHeight="1" spans="1:8">
      <c r="A62" s="4">
        <v>6</v>
      </c>
      <c r="B62" s="43" t="s">
        <v>103</v>
      </c>
      <c r="C62" s="43">
        <f>SUM(C63:C68)</f>
        <v>257973.28</v>
      </c>
      <c r="D62" s="63">
        <f>SUM(D63:D68)</f>
        <v>179405.57</v>
      </c>
      <c r="E62" s="43">
        <f t="shared" si="2"/>
        <v>-78567.71</v>
      </c>
      <c r="F62" s="31">
        <f t="shared" si="1"/>
        <v>-7.856771</v>
      </c>
      <c r="G62" s="43"/>
      <c r="H62" s="57"/>
    </row>
    <row r="63" ht="36" customHeight="1" spans="1:8">
      <c r="A63" s="6">
        <v>6.1</v>
      </c>
      <c r="B63" s="52" t="s">
        <v>104</v>
      </c>
      <c r="C63" s="52">
        <v>131844.68</v>
      </c>
      <c r="D63" s="58">
        <v>57555.69</v>
      </c>
      <c r="E63" s="52">
        <f t="shared" si="2"/>
        <v>-74288.99</v>
      </c>
      <c r="F63" s="33">
        <f t="shared" si="1"/>
        <v>-7.428899</v>
      </c>
      <c r="G63" s="51" t="s">
        <v>105</v>
      </c>
      <c r="H63" s="56"/>
    </row>
    <row r="64" customFormat="1" ht="36" customHeight="1" spans="1:8">
      <c r="A64" s="6">
        <v>6.2</v>
      </c>
      <c r="B64" s="52" t="s">
        <v>106</v>
      </c>
      <c r="C64" s="52">
        <v>64050.2</v>
      </c>
      <c r="D64" s="58">
        <v>81275.66</v>
      </c>
      <c r="E64" s="52">
        <f t="shared" si="2"/>
        <v>17225.46</v>
      </c>
      <c r="F64" s="33">
        <f t="shared" si="1"/>
        <v>1.722546</v>
      </c>
      <c r="G64" s="52"/>
      <c r="H64" s="14"/>
    </row>
    <row r="65" customFormat="1" ht="36" customHeight="1" spans="1:8">
      <c r="A65" s="6">
        <v>6.3</v>
      </c>
      <c r="B65" s="52" t="s">
        <v>107</v>
      </c>
      <c r="C65" s="52">
        <v>9144.11</v>
      </c>
      <c r="D65" s="58">
        <v>15811.08</v>
      </c>
      <c r="E65" s="52">
        <f t="shared" si="2"/>
        <v>6666.97</v>
      </c>
      <c r="F65" s="33">
        <f t="shared" si="1"/>
        <v>0.666697</v>
      </c>
      <c r="G65" s="52"/>
      <c r="H65" s="14"/>
    </row>
    <row r="66" customFormat="1" ht="36" customHeight="1" spans="1:8">
      <c r="A66" s="6">
        <v>6.4</v>
      </c>
      <c r="B66" s="52" t="s">
        <v>108</v>
      </c>
      <c r="C66" s="52">
        <v>40748.43</v>
      </c>
      <c r="D66" s="58">
        <v>13840.28</v>
      </c>
      <c r="E66" s="52">
        <f t="shared" si="2"/>
        <v>-26908.15</v>
      </c>
      <c r="F66" s="33">
        <f t="shared" si="1"/>
        <v>-2.690815</v>
      </c>
      <c r="G66" s="54" t="s">
        <v>109</v>
      </c>
      <c r="H66" s="55"/>
    </row>
    <row r="67" customFormat="1" ht="36" customHeight="1" spans="1:8">
      <c r="A67" s="6">
        <v>6.5</v>
      </c>
      <c r="B67" s="52" t="s">
        <v>110</v>
      </c>
      <c r="C67" s="52">
        <v>11755.05</v>
      </c>
      <c r="D67" s="58">
        <v>10708.41</v>
      </c>
      <c r="E67" s="52">
        <f t="shared" si="2"/>
        <v>-1046.64</v>
      </c>
      <c r="F67" s="33">
        <f t="shared" si="1"/>
        <v>-0.104664</v>
      </c>
      <c r="G67" s="52"/>
      <c r="H67" s="14"/>
    </row>
    <row r="68" customFormat="1" ht="36" customHeight="1" spans="1:8">
      <c r="A68" s="6">
        <v>6.6</v>
      </c>
      <c r="B68" s="52" t="s">
        <v>111</v>
      </c>
      <c r="C68" s="52">
        <v>430.81</v>
      </c>
      <c r="D68" s="58">
        <v>214.45</v>
      </c>
      <c r="E68" s="52">
        <f t="shared" si="2"/>
        <v>-216.36</v>
      </c>
      <c r="F68" s="33">
        <f t="shared" si="1"/>
        <v>-0.021636</v>
      </c>
      <c r="G68" s="52"/>
      <c r="H68" s="14"/>
    </row>
    <row r="69" customFormat="1" ht="36" customHeight="1" spans="1:8">
      <c r="A69" s="4">
        <v>7</v>
      </c>
      <c r="B69" s="43" t="s">
        <v>112</v>
      </c>
      <c r="C69" s="43">
        <f>SUM(C70:C78)</f>
        <v>23744636.49</v>
      </c>
      <c r="D69" s="50">
        <f>SUM(D70:D78)</f>
        <v>22400587.64</v>
      </c>
      <c r="E69" s="43">
        <f t="shared" si="2"/>
        <v>-1344048.85</v>
      </c>
      <c r="F69" s="31">
        <f t="shared" ref="F69:F90" si="3">E69/10000</f>
        <v>-134.404885</v>
      </c>
      <c r="G69" s="43"/>
      <c r="H69" s="57"/>
    </row>
    <row r="70" customFormat="1" ht="123" customHeight="1" spans="1:8">
      <c r="A70" s="6">
        <v>7.1</v>
      </c>
      <c r="B70" s="52" t="s">
        <v>113</v>
      </c>
      <c r="C70" s="52">
        <v>5510195.95</v>
      </c>
      <c r="D70" s="58">
        <v>6284385.74</v>
      </c>
      <c r="E70" s="52">
        <f t="shared" si="2"/>
        <v>774189.79</v>
      </c>
      <c r="F70" s="33">
        <f t="shared" si="3"/>
        <v>77.418979</v>
      </c>
      <c r="G70" s="51" t="s">
        <v>114</v>
      </c>
      <c r="H70" s="56"/>
    </row>
    <row r="71" customFormat="1" ht="36" customHeight="1" spans="1:8">
      <c r="A71" s="6">
        <v>7.2</v>
      </c>
      <c r="B71" s="52" t="s">
        <v>115</v>
      </c>
      <c r="C71" s="52">
        <v>449618.3</v>
      </c>
      <c r="D71" s="58">
        <v>316892.6</v>
      </c>
      <c r="E71" s="52">
        <f t="shared" si="2"/>
        <v>-132725.7</v>
      </c>
      <c r="F71" s="33">
        <f t="shared" si="3"/>
        <v>-13.27257</v>
      </c>
      <c r="G71" s="51" t="s">
        <v>116</v>
      </c>
      <c r="H71" s="56"/>
    </row>
    <row r="72" customFormat="1" ht="36" customHeight="1" spans="1:8">
      <c r="A72" s="6">
        <v>7.3</v>
      </c>
      <c r="B72" s="52" t="s">
        <v>117</v>
      </c>
      <c r="C72" s="52">
        <v>522465.7</v>
      </c>
      <c r="D72" s="58">
        <v>501036.95</v>
      </c>
      <c r="E72" s="52">
        <f t="shared" si="2"/>
        <v>-21428.75</v>
      </c>
      <c r="F72" s="33">
        <f t="shared" si="3"/>
        <v>-2.142875</v>
      </c>
      <c r="G72" s="51" t="s">
        <v>118</v>
      </c>
      <c r="H72" s="56"/>
    </row>
    <row r="73" customFormat="1" ht="108" customHeight="1" spans="1:8">
      <c r="A73" s="6">
        <v>7.4</v>
      </c>
      <c r="B73" s="52" t="s">
        <v>119</v>
      </c>
      <c r="C73" s="52">
        <v>13210737.73</v>
      </c>
      <c r="D73" s="58">
        <v>11811366.04</v>
      </c>
      <c r="E73" s="52">
        <f t="shared" si="2"/>
        <v>-1399371.69</v>
      </c>
      <c r="F73" s="33">
        <f t="shared" si="3"/>
        <v>-139.937169</v>
      </c>
      <c r="G73" s="51" t="s">
        <v>120</v>
      </c>
      <c r="H73" s="56"/>
    </row>
    <row r="74" customFormat="1" ht="76" customHeight="1" spans="1:8">
      <c r="A74" s="6">
        <v>7.5</v>
      </c>
      <c r="B74" s="52" t="s">
        <v>121</v>
      </c>
      <c r="C74" s="52">
        <v>2544339.16</v>
      </c>
      <c r="D74" s="58">
        <v>2152560.47</v>
      </c>
      <c r="E74" s="52">
        <f t="shared" si="2"/>
        <v>-391778.69</v>
      </c>
      <c r="F74" s="33">
        <f t="shared" si="3"/>
        <v>-39.177869</v>
      </c>
      <c r="G74" s="51" t="s">
        <v>122</v>
      </c>
      <c r="H74" s="56"/>
    </row>
    <row r="75" customFormat="1" ht="36" customHeight="1" spans="1:8">
      <c r="A75" s="6">
        <v>7.6</v>
      </c>
      <c r="B75" s="52" t="s">
        <v>123</v>
      </c>
      <c r="C75" s="52">
        <v>27884.88</v>
      </c>
      <c r="D75" s="58">
        <v>17522.9</v>
      </c>
      <c r="E75" s="52">
        <f t="shared" si="2"/>
        <v>-10361.98</v>
      </c>
      <c r="F75" s="33">
        <f t="shared" si="3"/>
        <v>-1.036198</v>
      </c>
      <c r="G75" s="52"/>
      <c r="H75" s="14"/>
    </row>
    <row r="76" customFormat="1" ht="58" customHeight="1" spans="1:8">
      <c r="A76" s="6">
        <v>7.7</v>
      </c>
      <c r="B76" s="52" t="s">
        <v>124</v>
      </c>
      <c r="C76" s="52">
        <v>409743.85</v>
      </c>
      <c r="D76" s="58">
        <v>370681.97</v>
      </c>
      <c r="E76" s="52">
        <f t="shared" si="2"/>
        <v>-39061.88</v>
      </c>
      <c r="F76" s="33">
        <f t="shared" si="3"/>
        <v>-3.906188</v>
      </c>
      <c r="G76" s="51" t="s">
        <v>125</v>
      </c>
      <c r="H76" s="56"/>
    </row>
    <row r="77" customFormat="1" ht="36" customHeight="1" spans="1:8">
      <c r="A77" s="6">
        <v>7.8</v>
      </c>
      <c r="B77" s="52" t="s">
        <v>126</v>
      </c>
      <c r="C77" s="52">
        <v>16917.69</v>
      </c>
      <c r="D77" s="58">
        <v>21143.55</v>
      </c>
      <c r="E77" s="52">
        <f t="shared" si="2"/>
        <v>4225.86</v>
      </c>
      <c r="F77" s="33">
        <f t="shared" si="3"/>
        <v>0.422586</v>
      </c>
      <c r="G77" s="52"/>
      <c r="H77" s="14"/>
    </row>
    <row r="78" customFormat="1" ht="87" customHeight="1" spans="1:8">
      <c r="A78" s="6">
        <v>7.9</v>
      </c>
      <c r="B78" s="52" t="s">
        <v>127</v>
      </c>
      <c r="C78" s="52">
        <v>1052733.23</v>
      </c>
      <c r="D78" s="58">
        <v>924997.42</v>
      </c>
      <c r="E78" s="52">
        <f t="shared" si="2"/>
        <v>-127735.81</v>
      </c>
      <c r="F78" s="33">
        <f t="shared" si="3"/>
        <v>-12.773581</v>
      </c>
      <c r="G78" s="51" t="s">
        <v>128</v>
      </c>
      <c r="H78" s="56"/>
    </row>
    <row r="79" customFormat="1" ht="36" customHeight="1" spans="1:8">
      <c r="A79" s="4">
        <v>8</v>
      </c>
      <c r="B79" s="43" t="s">
        <v>129</v>
      </c>
      <c r="C79" s="43">
        <f>C80</f>
        <v>2504213.55</v>
      </c>
      <c r="D79" s="50">
        <f>D80</f>
        <v>2553521.2</v>
      </c>
      <c r="E79" s="43">
        <f t="shared" si="2"/>
        <v>49307.6500000004</v>
      </c>
      <c r="F79" s="31">
        <f t="shared" si="3"/>
        <v>4.93076500000004</v>
      </c>
      <c r="G79" s="51" t="s">
        <v>154</v>
      </c>
      <c r="H79" s="56"/>
    </row>
    <row r="80" customFormat="1" ht="36" customHeight="1" spans="1:10">
      <c r="A80" s="6">
        <v>8.1</v>
      </c>
      <c r="B80" s="52" t="s">
        <v>130</v>
      </c>
      <c r="C80" s="52">
        <v>2504213.55</v>
      </c>
      <c r="D80" s="53">
        <v>2553521.2</v>
      </c>
      <c r="E80" s="52">
        <f t="shared" si="2"/>
        <v>49307.6500000004</v>
      </c>
      <c r="F80" s="33">
        <f t="shared" si="3"/>
        <v>4.93076500000004</v>
      </c>
      <c r="G80" s="52"/>
      <c r="H80" s="14"/>
      <c r="J80" s="1">
        <f>D80-上次发出稿!D80</f>
        <v>-25350.8799999999</v>
      </c>
    </row>
    <row r="81" customFormat="1" ht="36" customHeight="1" spans="1:11">
      <c r="A81" s="4">
        <v>9</v>
      </c>
      <c r="B81" s="43" t="s">
        <v>131</v>
      </c>
      <c r="C81" s="43">
        <f>SUM(C82:C86)</f>
        <v>8799715.61</v>
      </c>
      <c r="D81" s="50">
        <f>SUM(D82:D86)</f>
        <v>9419050.81</v>
      </c>
      <c r="E81" s="43">
        <f t="shared" si="2"/>
        <v>619335.200000001</v>
      </c>
      <c r="F81" s="31">
        <f t="shared" si="3"/>
        <v>61.9335200000001</v>
      </c>
      <c r="G81" s="43"/>
      <c r="H81" s="57"/>
      <c r="J81">
        <f>260000-26000</f>
        <v>234000</v>
      </c>
      <c r="K81">
        <v>234000</v>
      </c>
    </row>
    <row r="82" customFormat="1" ht="36" customHeight="1" spans="1:11">
      <c r="A82" s="6">
        <v>9.1</v>
      </c>
      <c r="B82" s="51" t="s">
        <v>132</v>
      </c>
      <c r="C82" s="52">
        <v>5061584.67</v>
      </c>
      <c r="D82" s="58">
        <f>3809659</f>
        <v>3809659</v>
      </c>
      <c r="E82" s="52">
        <f t="shared" si="2"/>
        <v>-1251925.67</v>
      </c>
      <c r="F82" s="7">
        <f t="shared" si="3"/>
        <v>-125.192567</v>
      </c>
      <c r="G82" s="51" t="s">
        <v>167</v>
      </c>
      <c r="H82" s="56"/>
      <c r="K82">
        <f>28*5%</f>
        <v>1.4</v>
      </c>
    </row>
    <row r="83" customFormat="1" ht="36" customHeight="1" spans="1:8">
      <c r="A83" s="6">
        <v>9.2</v>
      </c>
      <c r="B83" s="52" t="s">
        <v>134</v>
      </c>
      <c r="C83" s="52">
        <v>2067276.06</v>
      </c>
      <c r="D83" s="58">
        <v>3798265.23</v>
      </c>
      <c r="E83" s="52">
        <f t="shared" si="2"/>
        <v>1730989.17</v>
      </c>
      <c r="F83" s="7">
        <f t="shared" si="3"/>
        <v>173.098917</v>
      </c>
      <c r="G83" s="51" t="s">
        <v>168</v>
      </c>
      <c r="H83" s="56"/>
    </row>
    <row r="84" customFormat="1" ht="36" customHeight="1" spans="1:11">
      <c r="A84" s="6">
        <v>9.3</v>
      </c>
      <c r="B84" s="52" t="s">
        <v>136</v>
      </c>
      <c r="C84" s="52">
        <v>1374198.21</v>
      </c>
      <c r="D84" s="53">
        <v>1472808</v>
      </c>
      <c r="E84" s="52">
        <f t="shared" si="2"/>
        <v>98609.79</v>
      </c>
      <c r="F84" s="7">
        <f t="shared" si="3"/>
        <v>9.860979</v>
      </c>
      <c r="G84" s="51" t="s">
        <v>169</v>
      </c>
      <c r="H84" s="56"/>
      <c r="K84">
        <v>34889802.83</v>
      </c>
    </row>
    <row r="85" customFormat="1" ht="36" customHeight="1" spans="1:11">
      <c r="A85" s="6">
        <v>9.4</v>
      </c>
      <c r="B85" s="52" t="s">
        <v>138</v>
      </c>
      <c r="C85" s="52">
        <v>98727.19</v>
      </c>
      <c r="D85" s="58">
        <v>114969.04</v>
      </c>
      <c r="E85" s="52">
        <f t="shared" si="2"/>
        <v>16241.85</v>
      </c>
      <c r="F85" s="7">
        <f t="shared" si="3"/>
        <v>1.624185</v>
      </c>
      <c r="G85" s="51"/>
      <c r="H85" s="56"/>
      <c r="K85">
        <v>19979785.96</v>
      </c>
    </row>
    <row r="86" customFormat="1" ht="36" customHeight="1" spans="1:11">
      <c r="A86" s="6">
        <v>9.5</v>
      </c>
      <c r="B86" s="52" t="s">
        <v>138</v>
      </c>
      <c r="C86" s="52">
        <v>197929.48</v>
      </c>
      <c r="D86" s="58">
        <v>223349.54</v>
      </c>
      <c r="E86" s="52">
        <f t="shared" si="2"/>
        <v>25420.06</v>
      </c>
      <c r="F86" s="7">
        <f t="shared" si="3"/>
        <v>2.542006</v>
      </c>
      <c r="G86" s="51"/>
      <c r="H86" s="56"/>
      <c r="K86">
        <f>K84-K85</f>
        <v>14910016.87</v>
      </c>
    </row>
    <row r="87" s="1" customFormat="1" ht="29" customHeight="1" spans="1:9">
      <c r="A87" s="64" t="s">
        <v>139</v>
      </c>
      <c r="B87" s="65" t="s">
        <v>200</v>
      </c>
      <c r="C87" s="66">
        <f>C88</f>
        <v>5951024</v>
      </c>
      <c r="D87" s="67">
        <f>D88</f>
        <v>8997866.44</v>
      </c>
      <c r="E87" s="68">
        <f t="shared" si="2"/>
        <v>3046842.44</v>
      </c>
      <c r="F87" s="68">
        <f t="shared" si="3"/>
        <v>304.684244</v>
      </c>
      <c r="G87" s="66" t="s">
        <v>155</v>
      </c>
      <c r="H87" s="20">
        <f>E87+H30+H9</f>
        <v>19738345.72</v>
      </c>
      <c r="I87" s="1">
        <v>19738345.72</v>
      </c>
    </row>
    <row r="88" ht="29" customHeight="1" spans="1:10">
      <c r="A88" s="25">
        <v>10</v>
      </c>
      <c r="B88" s="26" t="s">
        <v>141</v>
      </c>
      <c r="C88" s="25">
        <v>5951024</v>
      </c>
      <c r="D88" s="27">
        <v>8997866.44</v>
      </c>
      <c r="E88" s="27">
        <f t="shared" si="2"/>
        <v>3046842.44</v>
      </c>
      <c r="F88" s="27">
        <f t="shared" si="3"/>
        <v>304.684244</v>
      </c>
      <c r="G88" s="69"/>
      <c r="H88" s="70">
        <f>H31+H6+E89</f>
        <v>-33080266.5797724</v>
      </c>
      <c r="I88">
        <v>-33080266.5797724</v>
      </c>
      <c r="J88" s="1">
        <f>D88-上次发出稿!D88</f>
        <v>5599608.99</v>
      </c>
    </row>
    <row r="89" s="11" customFormat="1" ht="27" customHeight="1" spans="1:8">
      <c r="A89" s="28" t="s">
        <v>143</v>
      </c>
      <c r="B89" s="29" t="s">
        <v>144</v>
      </c>
      <c r="C89" s="28">
        <f>(C88+C29+C5)*3%</f>
        <v>10424751.7131</v>
      </c>
      <c r="D89" s="30">
        <f>(D88+D29+D5)*3%</f>
        <v>10036152.0764076</v>
      </c>
      <c r="E89" s="28">
        <f>(E88+E29+E5)*3%</f>
        <v>-388599.6366924</v>
      </c>
      <c r="F89" s="30">
        <f t="shared" si="3"/>
        <v>-38.85996366924</v>
      </c>
      <c r="G89" s="29"/>
      <c r="H89" s="71"/>
    </row>
    <row r="90" s="11" customFormat="1" ht="27" customHeight="1" spans="1:8">
      <c r="A90" s="28"/>
      <c r="B90" s="28" t="s">
        <v>145</v>
      </c>
      <c r="C90" s="30">
        <f>C88+C29+C5+C89</f>
        <v>357916475.4831</v>
      </c>
      <c r="D90" s="30">
        <f>D88+D29+D5+D89</f>
        <v>344574554.623328</v>
      </c>
      <c r="E90" s="30">
        <f>E88+E29+E5+E89</f>
        <v>-13341920.8597724</v>
      </c>
      <c r="F90" s="30">
        <f t="shared" si="3"/>
        <v>-1334.19208597724</v>
      </c>
      <c r="G90" s="29"/>
      <c r="H90" s="71"/>
    </row>
    <row r="91" ht="36" customHeight="1"/>
    <row r="92" ht="36" customHeight="1" spans="3:10">
      <c r="C92">
        <v>5951024</v>
      </c>
      <c r="D92" s="38">
        <v>8997866.44</v>
      </c>
      <c r="F92" s="15">
        <f>F90*10000</f>
        <v>-13341920.8597724</v>
      </c>
      <c r="G92" s="17">
        <v>-18933901.2473856</v>
      </c>
      <c r="J92">
        <v>340784311.35</v>
      </c>
    </row>
    <row r="93" ht="36" customHeight="1" spans="6:7">
      <c r="F93" s="15">
        <v>-13341920.8597724</v>
      </c>
      <c r="G93" s="17">
        <f>F92/C90</f>
        <v>-0.0372766323253605</v>
      </c>
    </row>
    <row r="94" ht="36" customHeight="1" spans="4:4">
      <c r="D94" s="38">
        <v>344574554.623328</v>
      </c>
    </row>
    <row r="95" ht="36" customHeight="1"/>
    <row r="96" ht="36" customHeight="1" spans="5:5">
      <c r="E96">
        <v>338982574.24</v>
      </c>
    </row>
    <row r="97" ht="36" customHeight="1"/>
    <row r="98" ht="36" customHeight="1"/>
    <row r="99" ht="36" customHeight="1"/>
    <row r="100" ht="36" customHeight="1"/>
    <row r="101" ht="36" customHeight="1"/>
    <row r="102" ht="36" customHeight="1"/>
    <row r="103" ht="36" customHeight="1"/>
    <row r="104" ht="36" customHeight="1"/>
    <row r="105" ht="36" customHeight="1"/>
    <row r="106" ht="36" customHeight="1"/>
    <row r="107" ht="36" customHeight="1"/>
    <row r="108" ht="36" customHeight="1"/>
    <row r="109" ht="36" customHeight="1"/>
  </sheetData>
  <autoFilter ref="A1:G96">
    <extLst/>
  </autoFilter>
  <mergeCells count="9">
    <mergeCell ref="A1:G1"/>
    <mergeCell ref="A2:D2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751388888888889" right="0.751388888888889" top="0.60625" bottom="0.409027777777778" header="0.5" footer="0.5"/>
  <pageSetup paperSize="9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S21"/>
  <sheetViews>
    <sheetView workbookViewId="0">
      <selection activeCell="A3" sqref="A3:S10"/>
    </sheetView>
  </sheetViews>
  <sheetFormatPr defaultColWidth="9" defaultRowHeight="14"/>
  <cols>
    <col min="6" max="6" width="9.37272727272727"/>
    <col min="7" max="7" width="10.3727272727273"/>
    <col min="8" max="14" width="12.6272727272727"/>
    <col min="15" max="15" width="11.5"/>
    <col min="16" max="19" width="12.6272727272727"/>
  </cols>
  <sheetData>
    <row r="3" spans="2:19">
      <c r="B3" s="37"/>
      <c r="C3" s="37">
        <v>15</v>
      </c>
      <c r="D3" s="37">
        <v>16</v>
      </c>
      <c r="E3" s="37">
        <v>17</v>
      </c>
      <c r="F3" s="37">
        <v>18</v>
      </c>
      <c r="G3" s="37">
        <v>19</v>
      </c>
      <c r="H3" s="37">
        <v>20</v>
      </c>
      <c r="I3" s="37">
        <v>21</v>
      </c>
      <c r="J3" s="37">
        <v>22</v>
      </c>
      <c r="K3" s="37">
        <v>23</v>
      </c>
      <c r="L3" s="37">
        <v>24</v>
      </c>
      <c r="M3" s="37">
        <v>25</v>
      </c>
      <c r="N3" s="37">
        <v>26</v>
      </c>
      <c r="O3" s="37">
        <v>27</v>
      </c>
      <c r="P3" s="37">
        <v>28</v>
      </c>
      <c r="Q3" s="37">
        <v>29</v>
      </c>
      <c r="R3" s="37">
        <v>30</v>
      </c>
      <c r="S3" s="37">
        <v>31</v>
      </c>
    </row>
    <row r="4" ht="26" customHeight="1" spans="1:19">
      <c r="A4">
        <v>600</v>
      </c>
      <c r="B4" s="37" t="s">
        <v>201</v>
      </c>
      <c r="C4" s="37">
        <f>$B4*C3</f>
        <v>6825</v>
      </c>
      <c r="D4" s="37">
        <f t="shared" ref="D4:S4" si="0">$B4*D3</f>
        <v>7280</v>
      </c>
      <c r="E4" s="37">
        <f t="shared" si="0"/>
        <v>7735</v>
      </c>
      <c r="F4" s="37">
        <f t="shared" si="0"/>
        <v>8190</v>
      </c>
      <c r="G4" s="37">
        <f t="shared" si="0"/>
        <v>8645</v>
      </c>
      <c r="H4" s="37">
        <f t="shared" si="0"/>
        <v>9100</v>
      </c>
      <c r="I4" s="37">
        <f t="shared" si="0"/>
        <v>9555</v>
      </c>
      <c r="J4" s="37">
        <f t="shared" si="0"/>
        <v>10010</v>
      </c>
      <c r="K4" s="37">
        <f t="shared" si="0"/>
        <v>10465</v>
      </c>
      <c r="L4" s="37">
        <f t="shared" si="0"/>
        <v>10920</v>
      </c>
      <c r="M4" s="37">
        <f t="shared" si="0"/>
        <v>11375</v>
      </c>
      <c r="N4" s="37">
        <f t="shared" si="0"/>
        <v>11830</v>
      </c>
      <c r="O4" s="37">
        <f t="shared" si="0"/>
        <v>12285</v>
      </c>
      <c r="P4" s="37">
        <f t="shared" si="0"/>
        <v>12740</v>
      </c>
      <c r="Q4" s="37">
        <f t="shared" si="0"/>
        <v>13195</v>
      </c>
      <c r="R4" s="37">
        <f t="shared" si="0"/>
        <v>13650</v>
      </c>
      <c r="S4" s="37">
        <f t="shared" si="0"/>
        <v>14105</v>
      </c>
    </row>
    <row r="5" ht="26" customHeight="1" spans="2:19"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ht="26" customHeight="1" spans="1:19">
      <c r="A6">
        <v>800</v>
      </c>
      <c r="B6" s="37" t="s">
        <v>202</v>
      </c>
      <c r="C6" s="37">
        <f>$B6*C3</f>
        <v>10725</v>
      </c>
      <c r="D6" s="37">
        <f t="shared" ref="D6:S6" si="1">$B6*D3</f>
        <v>11440</v>
      </c>
      <c r="E6" s="37">
        <f t="shared" si="1"/>
        <v>12155</v>
      </c>
      <c r="F6" s="37">
        <f t="shared" si="1"/>
        <v>12870</v>
      </c>
      <c r="G6" s="37">
        <f t="shared" si="1"/>
        <v>13585</v>
      </c>
      <c r="H6" s="37">
        <f t="shared" si="1"/>
        <v>14300</v>
      </c>
      <c r="I6" s="37">
        <f t="shared" si="1"/>
        <v>15015</v>
      </c>
      <c r="J6" s="37">
        <f t="shared" si="1"/>
        <v>15730</v>
      </c>
      <c r="K6" s="37">
        <f t="shared" si="1"/>
        <v>16445</v>
      </c>
      <c r="L6" s="37">
        <f t="shared" si="1"/>
        <v>17160</v>
      </c>
      <c r="M6" s="37">
        <f t="shared" si="1"/>
        <v>17875</v>
      </c>
      <c r="N6" s="37">
        <f t="shared" si="1"/>
        <v>18590</v>
      </c>
      <c r="O6" s="37">
        <f t="shared" si="1"/>
        <v>19305</v>
      </c>
      <c r="P6" s="37">
        <f t="shared" si="1"/>
        <v>20020</v>
      </c>
      <c r="Q6" s="37">
        <f t="shared" si="1"/>
        <v>20735</v>
      </c>
      <c r="R6" s="37">
        <f t="shared" si="1"/>
        <v>21450</v>
      </c>
      <c r="S6" s="37">
        <f t="shared" si="1"/>
        <v>22165</v>
      </c>
    </row>
    <row r="7" ht="26" customHeight="1" spans="2:19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</row>
    <row r="8" ht="26" customHeight="1" spans="1:19">
      <c r="A8">
        <v>1000</v>
      </c>
      <c r="B8" s="37" t="s">
        <v>203</v>
      </c>
      <c r="C8" s="37">
        <f>$B8*C$3</f>
        <v>16500</v>
      </c>
      <c r="D8" s="37">
        <f>$B8*D$3</f>
        <v>17600</v>
      </c>
      <c r="E8" s="37">
        <f t="shared" ref="E8:S8" si="2">$B8*E$3</f>
        <v>18700</v>
      </c>
      <c r="F8" s="37">
        <f t="shared" si="2"/>
        <v>19800</v>
      </c>
      <c r="G8" s="37">
        <f t="shared" si="2"/>
        <v>20900</v>
      </c>
      <c r="H8" s="37">
        <f t="shared" si="2"/>
        <v>22000</v>
      </c>
      <c r="I8" s="37">
        <f t="shared" si="2"/>
        <v>23100</v>
      </c>
      <c r="J8" s="37">
        <f t="shared" si="2"/>
        <v>24200</v>
      </c>
      <c r="K8" s="37">
        <f t="shared" si="2"/>
        <v>25300</v>
      </c>
      <c r="L8" s="37">
        <f t="shared" si="2"/>
        <v>26400</v>
      </c>
      <c r="M8" s="37">
        <f t="shared" si="2"/>
        <v>27500</v>
      </c>
      <c r="N8" s="37">
        <f t="shared" si="2"/>
        <v>28600</v>
      </c>
      <c r="O8" s="37">
        <f t="shared" si="2"/>
        <v>29700</v>
      </c>
      <c r="P8" s="37">
        <f t="shared" si="2"/>
        <v>30800</v>
      </c>
      <c r="Q8" s="37">
        <f t="shared" si="2"/>
        <v>31900</v>
      </c>
      <c r="R8" s="37">
        <f t="shared" si="2"/>
        <v>33000</v>
      </c>
      <c r="S8" s="37">
        <f t="shared" si="2"/>
        <v>34100</v>
      </c>
    </row>
    <row r="9" ht="26" customHeight="1" spans="2:19"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</row>
    <row r="10" ht="26" customHeight="1" spans="1:19">
      <c r="A10">
        <v>1200</v>
      </c>
      <c r="B10" s="37" t="s">
        <v>204</v>
      </c>
      <c r="C10" s="37">
        <f>$B10*C$3</f>
        <v>24975</v>
      </c>
      <c r="D10" s="37">
        <f t="shared" ref="D10:S10" si="3">$B10*D$3</f>
        <v>26640</v>
      </c>
      <c r="E10" s="37">
        <f t="shared" si="3"/>
        <v>28305</v>
      </c>
      <c r="F10" s="37">
        <f t="shared" si="3"/>
        <v>29970</v>
      </c>
      <c r="G10" s="37">
        <f t="shared" si="3"/>
        <v>31635</v>
      </c>
      <c r="H10" s="37">
        <f t="shared" si="3"/>
        <v>33300</v>
      </c>
      <c r="I10" s="37">
        <f t="shared" si="3"/>
        <v>34965</v>
      </c>
      <c r="J10" s="37">
        <f t="shared" si="3"/>
        <v>36630</v>
      </c>
      <c r="K10" s="37">
        <f t="shared" si="3"/>
        <v>38295</v>
      </c>
      <c r="L10" s="37">
        <f t="shared" si="3"/>
        <v>39960</v>
      </c>
      <c r="M10" s="37">
        <f t="shared" si="3"/>
        <v>41625</v>
      </c>
      <c r="N10" s="37">
        <f t="shared" si="3"/>
        <v>43290</v>
      </c>
      <c r="O10" s="37">
        <f t="shared" si="3"/>
        <v>44955</v>
      </c>
      <c r="P10" s="37">
        <f t="shared" si="3"/>
        <v>46620</v>
      </c>
      <c r="Q10" s="37">
        <f t="shared" si="3"/>
        <v>48285</v>
      </c>
      <c r="R10" s="37">
        <f t="shared" si="3"/>
        <v>49950</v>
      </c>
      <c r="S10" s="37">
        <f t="shared" si="3"/>
        <v>51615</v>
      </c>
    </row>
    <row r="14" spans="2:19">
      <c r="B14" s="37"/>
      <c r="C14" s="37">
        <v>15</v>
      </c>
      <c r="D14" s="37">
        <v>16</v>
      </c>
      <c r="E14" s="37">
        <v>17</v>
      </c>
      <c r="F14" s="37">
        <v>18</v>
      </c>
      <c r="G14" s="37">
        <v>19</v>
      </c>
      <c r="H14" s="37">
        <v>20</v>
      </c>
      <c r="I14" s="37">
        <v>21</v>
      </c>
      <c r="J14" s="37">
        <v>22</v>
      </c>
      <c r="K14" s="37">
        <v>23</v>
      </c>
      <c r="L14" s="37">
        <v>24</v>
      </c>
      <c r="M14" s="37">
        <v>25</v>
      </c>
      <c r="N14" s="37">
        <v>26</v>
      </c>
      <c r="O14" s="37">
        <v>27</v>
      </c>
      <c r="P14" s="37">
        <v>28</v>
      </c>
      <c r="Q14" s="37">
        <v>29</v>
      </c>
      <c r="R14" s="37">
        <v>30</v>
      </c>
      <c r="S14" s="37">
        <v>31</v>
      </c>
    </row>
    <row r="15" ht="26" customHeight="1" spans="1:19">
      <c r="A15">
        <v>600</v>
      </c>
      <c r="B15" s="37" t="s">
        <v>201</v>
      </c>
      <c r="C15" s="37">
        <v>6825</v>
      </c>
      <c r="D15" s="37">
        <v>7280</v>
      </c>
      <c r="E15" s="37">
        <v>7735</v>
      </c>
      <c r="F15" s="37">
        <v>8190</v>
      </c>
      <c r="G15" s="37">
        <v>8645</v>
      </c>
      <c r="H15" s="37">
        <v>9100</v>
      </c>
      <c r="I15" s="37">
        <v>9555</v>
      </c>
      <c r="J15" s="37">
        <v>10010</v>
      </c>
      <c r="K15" s="37">
        <v>10465</v>
      </c>
      <c r="L15" s="37">
        <v>10920</v>
      </c>
      <c r="M15" s="37">
        <v>11375</v>
      </c>
      <c r="N15" s="37">
        <v>11830</v>
      </c>
      <c r="O15" s="37">
        <v>12285</v>
      </c>
      <c r="P15" s="37">
        <v>12740</v>
      </c>
      <c r="Q15" s="37">
        <v>13195</v>
      </c>
      <c r="R15" s="37">
        <v>13650</v>
      </c>
      <c r="S15" s="37">
        <v>14105</v>
      </c>
    </row>
    <row r="16" ht="26" customHeight="1" spans="2:19"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</row>
    <row r="17" ht="26" customHeight="1" spans="1:19">
      <c r="A17">
        <v>800</v>
      </c>
      <c r="B17" s="37" t="s">
        <v>202</v>
      </c>
      <c r="C17" s="37">
        <v>10725</v>
      </c>
      <c r="D17" s="37">
        <v>11440</v>
      </c>
      <c r="E17" s="37">
        <v>12155</v>
      </c>
      <c r="F17" s="37">
        <v>12870</v>
      </c>
      <c r="G17" s="37">
        <v>13585</v>
      </c>
      <c r="H17" s="37">
        <v>14300</v>
      </c>
      <c r="I17" s="37">
        <v>15015</v>
      </c>
      <c r="J17" s="37">
        <v>15730</v>
      </c>
      <c r="K17" s="37">
        <v>16445</v>
      </c>
      <c r="L17" s="37">
        <v>17160</v>
      </c>
      <c r="M17" s="37">
        <v>17875</v>
      </c>
      <c r="N17" s="37">
        <v>18590</v>
      </c>
      <c r="O17" s="37">
        <v>19305</v>
      </c>
      <c r="P17" s="37">
        <v>20020</v>
      </c>
      <c r="Q17" s="37">
        <v>20735</v>
      </c>
      <c r="R17" s="37">
        <v>21450</v>
      </c>
      <c r="S17" s="37">
        <v>22165</v>
      </c>
    </row>
    <row r="18" ht="26" customHeight="1" spans="2:19"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</row>
    <row r="19" ht="26" customHeight="1" spans="1:19">
      <c r="A19">
        <v>1000</v>
      </c>
      <c r="B19" s="37" t="s">
        <v>203</v>
      </c>
      <c r="C19" s="37">
        <v>16500</v>
      </c>
      <c r="D19" s="37">
        <v>17600</v>
      </c>
      <c r="E19" s="37">
        <v>18700</v>
      </c>
      <c r="F19" s="37">
        <v>19800</v>
      </c>
      <c r="G19" s="37">
        <v>20900</v>
      </c>
      <c r="H19" s="37">
        <v>22000</v>
      </c>
      <c r="I19" s="37">
        <v>23100</v>
      </c>
      <c r="J19" s="37">
        <v>24200</v>
      </c>
      <c r="K19" s="37">
        <v>25300</v>
      </c>
      <c r="L19" s="37">
        <v>26400</v>
      </c>
      <c r="M19" s="37">
        <v>27500</v>
      </c>
      <c r="N19" s="37">
        <v>28600</v>
      </c>
      <c r="O19" s="37">
        <v>29700</v>
      </c>
      <c r="P19" s="37">
        <v>30800</v>
      </c>
      <c r="Q19" s="37">
        <v>31900</v>
      </c>
      <c r="R19" s="37">
        <v>33000</v>
      </c>
      <c r="S19" s="37">
        <v>34100</v>
      </c>
    </row>
    <row r="20" ht="26" customHeight="1" spans="2:19"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</row>
    <row r="21" ht="26" customHeight="1" spans="1:19">
      <c r="A21">
        <v>1200</v>
      </c>
      <c r="B21" s="37" t="s">
        <v>204</v>
      </c>
      <c r="C21" s="37">
        <v>24975</v>
      </c>
      <c r="D21" s="37">
        <v>26640</v>
      </c>
      <c r="E21" s="37">
        <v>28305</v>
      </c>
      <c r="F21" s="37">
        <v>29970</v>
      </c>
      <c r="G21" s="37">
        <v>31635</v>
      </c>
      <c r="H21" s="37">
        <v>33300</v>
      </c>
      <c r="I21" s="37">
        <v>34965</v>
      </c>
      <c r="J21" s="37">
        <v>36630</v>
      </c>
      <c r="K21" s="37">
        <v>38295</v>
      </c>
      <c r="L21" s="37">
        <v>39960</v>
      </c>
      <c r="M21" s="37">
        <v>41625</v>
      </c>
      <c r="N21" s="37">
        <v>43290</v>
      </c>
      <c r="O21" s="37">
        <v>44955</v>
      </c>
      <c r="P21" s="37">
        <v>46620</v>
      </c>
      <c r="Q21" s="37">
        <v>48285</v>
      </c>
      <c r="R21" s="37">
        <v>49950</v>
      </c>
      <c r="S21" s="37">
        <v>51615</v>
      </c>
    </row>
  </sheetData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N93"/>
  <sheetViews>
    <sheetView workbookViewId="0">
      <pane ySplit="4" topLeftCell="A5" activePane="bottomLeft" state="frozen"/>
      <selection/>
      <selection pane="bottomLeft" activeCell="H9" sqref="B8:H9"/>
    </sheetView>
  </sheetViews>
  <sheetFormatPr defaultColWidth="9" defaultRowHeight="14"/>
  <cols>
    <col min="1" max="1" width="5.62727272727273" style="12" customWidth="1"/>
    <col min="2" max="2" width="20" style="13" customWidth="1"/>
    <col min="3" max="3" width="15.5" customWidth="1"/>
    <col min="4" max="4" width="13.7545454545455" customWidth="1"/>
    <col min="5" max="5" width="14.1272727272727" style="14" customWidth="1"/>
    <col min="6" max="6" width="15.1272727272727" style="15" customWidth="1"/>
    <col min="7" max="7" width="15.7545454545455" style="16" customWidth="1"/>
    <col min="8" max="8" width="50.7545454545455" style="17" customWidth="1"/>
    <col min="9" max="9" width="17.1272727272727" customWidth="1"/>
    <col min="10" max="12" width="14.1272727272727"/>
    <col min="13" max="13" width="10.3727272727273"/>
    <col min="14" max="14" width="11.6272727272727"/>
  </cols>
  <sheetData>
    <row r="1" ht="25.5" spans="1:8">
      <c r="A1" s="18" t="s">
        <v>205</v>
      </c>
      <c r="B1" s="19"/>
      <c r="C1" s="18"/>
      <c r="D1" s="18"/>
      <c r="E1" s="20"/>
      <c r="F1" s="21"/>
      <c r="G1" s="21"/>
      <c r="H1" s="19"/>
    </row>
    <row r="2" spans="1:8">
      <c r="A2" s="22" t="s">
        <v>1</v>
      </c>
      <c r="B2" s="22"/>
      <c r="C2" s="22"/>
      <c r="D2" s="22"/>
      <c r="E2" s="22"/>
      <c r="F2" s="23"/>
      <c r="G2" s="24"/>
      <c r="H2" s="22"/>
    </row>
    <row r="3" spans="1:8">
      <c r="A3" s="25" t="s">
        <v>2</v>
      </c>
      <c r="B3" s="26" t="s">
        <v>3</v>
      </c>
      <c r="C3" s="25" t="s">
        <v>4</v>
      </c>
      <c r="D3" s="25" t="s">
        <v>206</v>
      </c>
      <c r="E3" s="25" t="s">
        <v>5</v>
      </c>
      <c r="F3" s="27" t="s">
        <v>207</v>
      </c>
      <c r="G3" s="27" t="s">
        <v>7</v>
      </c>
      <c r="H3" s="25" t="s">
        <v>8</v>
      </c>
    </row>
    <row r="4" spans="1:8">
      <c r="A4" s="25"/>
      <c r="B4" s="26"/>
      <c r="C4" s="25"/>
      <c r="D4" s="25"/>
      <c r="E4" s="25"/>
      <c r="F4" s="27"/>
      <c r="G4" s="27"/>
      <c r="H4" s="25"/>
    </row>
    <row r="5" s="1" customFormat="1" ht="29" customHeight="1" spans="1:10">
      <c r="A5" s="28" t="e">
        <f>汇总表1!#REF!</f>
        <v>#REF!</v>
      </c>
      <c r="B5" s="29" t="e">
        <f>汇总表1!#REF!</f>
        <v>#REF!</v>
      </c>
      <c r="C5" s="28" t="e">
        <f>汇总表1!#REF!</f>
        <v>#REF!</v>
      </c>
      <c r="D5" s="28">
        <v>294248824.96</v>
      </c>
      <c r="E5" s="30" t="e">
        <f>汇总表1!#REF!</f>
        <v>#REF!</v>
      </c>
      <c r="F5" s="31" t="e">
        <f>E5-D5</f>
        <v>#REF!</v>
      </c>
      <c r="G5" s="8" t="e">
        <f>F5/10000</f>
        <v>#REF!</v>
      </c>
      <c r="H5" s="32"/>
      <c r="I5" s="1">
        <f>449.62+3.89</f>
        <v>453.51</v>
      </c>
      <c r="J5" s="1">
        <f>I5-G6</f>
        <v>1377.29509</v>
      </c>
    </row>
    <row r="6" s="1" customFormat="1" ht="33" customHeight="1" spans="1:12">
      <c r="A6" s="25" t="str">
        <f>汇总表1!A5</f>
        <v>一</v>
      </c>
      <c r="B6" s="26" t="str">
        <f>汇总表1!B5</f>
        <v>水运工程</v>
      </c>
      <c r="C6" s="25" t="e">
        <f>汇总表1!#REF!</f>
        <v>#REF!</v>
      </c>
      <c r="D6" s="25">
        <v>9237850.9</v>
      </c>
      <c r="E6" s="27">
        <f>汇总表1!C5</f>
        <v>0</v>
      </c>
      <c r="F6" s="33">
        <f t="shared" ref="F6:F37" si="0">E6-D6</f>
        <v>-9237850.9</v>
      </c>
      <c r="G6" s="7">
        <f t="shared" ref="G6:G37" si="1">F6/10000</f>
        <v>-923.78509</v>
      </c>
      <c r="H6" s="34" t="s">
        <v>208</v>
      </c>
      <c r="I6" s="1">
        <f>448.41-442.78</f>
        <v>5.63000000000005</v>
      </c>
      <c r="J6" s="1">
        <f>E6-上次发出稿!D6</f>
        <v>-9770169.96212</v>
      </c>
      <c r="K6" s="1" t="e">
        <f>E5+E64+E72</f>
        <v>#REF!</v>
      </c>
      <c r="L6" s="1" t="e">
        <f>K6-#REF!</f>
        <v>#REF!</v>
      </c>
    </row>
    <row r="7" s="1" customFormat="1" ht="33" customHeight="1" spans="1:14">
      <c r="A7" s="25">
        <f>汇总表1!A6</f>
        <v>1</v>
      </c>
      <c r="B7" s="26" t="str">
        <f>汇总表1!B6</f>
        <v>一般项目</v>
      </c>
      <c r="C7" s="25" t="e">
        <f>汇总表1!#REF!</f>
        <v>#REF!</v>
      </c>
      <c r="D7" s="25">
        <v>23615983.08</v>
      </c>
      <c r="E7" s="27">
        <f>汇总表1!C6</f>
        <v>0</v>
      </c>
      <c r="F7" s="33">
        <f t="shared" si="0"/>
        <v>-23615983.08</v>
      </c>
      <c r="G7" s="7">
        <f t="shared" si="1"/>
        <v>-2361.598308</v>
      </c>
      <c r="H7" s="34" t="s">
        <v>209</v>
      </c>
      <c r="I7" s="35">
        <v>449.74</v>
      </c>
      <c r="J7" s="1">
        <f>E7-上次发出稿!D9</f>
        <v>-18032546.03</v>
      </c>
      <c r="L7" s="1">
        <v>6686624.8</v>
      </c>
      <c r="N7" s="1">
        <f>59000*37.5</f>
        <v>2212500</v>
      </c>
    </row>
    <row r="8" s="1" customFormat="1" ht="37" customHeight="1" spans="1:13">
      <c r="A8" s="25">
        <f>汇总表1!A7</f>
        <v>2</v>
      </c>
      <c r="B8" s="26" t="str">
        <f>汇总表1!B7</f>
        <v>疏浚工程</v>
      </c>
      <c r="C8" s="25" t="e">
        <f>汇总表1!#REF!</f>
        <v>#REF!</v>
      </c>
      <c r="D8" s="27">
        <v>171283229.35</v>
      </c>
      <c r="E8" s="27">
        <f>汇总表1!C7</f>
        <v>0</v>
      </c>
      <c r="F8" s="33">
        <f t="shared" si="0"/>
        <v>-171283229.35</v>
      </c>
      <c r="G8" s="7">
        <f t="shared" si="1"/>
        <v>-17128.322935</v>
      </c>
      <c r="H8" s="34" t="s">
        <v>210</v>
      </c>
      <c r="I8" s="35">
        <v>444.11807</v>
      </c>
      <c r="J8" s="1">
        <f>E8-上次发出稿!D10</f>
        <v>-162224026.01</v>
      </c>
      <c r="L8" s="1" t="e">
        <f>L7+L6</f>
        <v>#REF!</v>
      </c>
      <c r="M8" s="1">
        <f>450+46.96</f>
        <v>496.96</v>
      </c>
    </row>
    <row r="9" s="1" customFormat="1" ht="33" customHeight="1" spans="1:10">
      <c r="A9" s="25" t="e">
        <f>汇总表1!#REF!</f>
        <v>#REF!</v>
      </c>
      <c r="B9" s="26" t="e">
        <f>汇总表1!#REF!</f>
        <v>#REF!</v>
      </c>
      <c r="C9" s="25" t="e">
        <f>汇总表1!#REF!</f>
        <v>#REF!</v>
      </c>
      <c r="D9" s="25">
        <v>30500154.93</v>
      </c>
      <c r="E9" s="27" t="e">
        <f>汇总表1!#REF!</f>
        <v>#REF!</v>
      </c>
      <c r="F9" s="33" t="e">
        <f t="shared" si="0"/>
        <v>#REF!</v>
      </c>
      <c r="G9" s="7" t="e">
        <f t="shared" si="1"/>
        <v>#REF!</v>
      </c>
      <c r="H9" s="34" t="s">
        <v>211</v>
      </c>
      <c r="I9" s="35">
        <f>I7-I8</f>
        <v>5.62193000000002</v>
      </c>
      <c r="J9" s="1" t="e">
        <f>E9-上次发出稿!D27</f>
        <v>#REF!</v>
      </c>
    </row>
    <row r="10" s="1" customFormat="1" ht="33" customHeight="1" spans="1:10">
      <c r="A10" s="25" t="e">
        <f>汇总表1!#REF!</f>
        <v>#REF!</v>
      </c>
      <c r="B10" s="26" t="e">
        <f>汇总表1!#REF!</f>
        <v>#REF!</v>
      </c>
      <c r="C10" s="25" t="e">
        <f>汇总表1!#REF!</f>
        <v>#REF!</v>
      </c>
      <c r="D10" s="25">
        <v>57058355.82</v>
      </c>
      <c r="E10" s="27" t="e">
        <f>汇总表1!#REF!</f>
        <v>#REF!</v>
      </c>
      <c r="F10" s="33" t="e">
        <f t="shared" si="0"/>
        <v>#REF!</v>
      </c>
      <c r="G10" s="7" t="e">
        <f t="shared" si="1"/>
        <v>#REF!</v>
      </c>
      <c r="H10" s="34" t="s">
        <v>212</v>
      </c>
      <c r="I10" s="35">
        <f>209.42-44.84</f>
        <v>164.58</v>
      </c>
      <c r="J10" s="1" t="e">
        <f>E10-上次发出稿!D28</f>
        <v>#REF!</v>
      </c>
    </row>
    <row r="11" ht="33" customHeight="1" spans="1:12">
      <c r="A11" s="25" t="e">
        <f>汇总表1!#REF!</f>
        <v>#REF!</v>
      </c>
      <c r="B11" s="26" t="e">
        <f>汇总表1!#REF!</f>
        <v>#REF!</v>
      </c>
      <c r="C11" s="25" t="e">
        <f>汇总表1!#REF!</f>
        <v>#REF!</v>
      </c>
      <c r="D11" s="25">
        <v>2553250.88</v>
      </c>
      <c r="E11" s="27" t="e">
        <f>汇总表1!#REF!</f>
        <v>#REF!</v>
      </c>
      <c r="F11" s="33" t="e">
        <f t="shared" si="0"/>
        <v>#REF!</v>
      </c>
      <c r="G11" s="7" t="e">
        <f t="shared" si="1"/>
        <v>#REF!</v>
      </c>
      <c r="H11" s="34"/>
      <c r="J11">
        <f>64348.24</f>
        <v>64348.24</v>
      </c>
      <c r="K11">
        <f>336000/J11</f>
        <v>5.2215880341094</v>
      </c>
      <c r="L11" s="36" t="e">
        <f>E11-E61</f>
        <v>#REF!</v>
      </c>
    </row>
    <row r="12" ht="38" customHeight="1" spans="1:10">
      <c r="A12" s="28" t="e">
        <f>汇总表1!#REF!</f>
        <v>#REF!</v>
      </c>
      <c r="B12" s="29" t="e">
        <f>汇总表1!#REF!</f>
        <v>#REF!</v>
      </c>
      <c r="C12" s="28" t="e">
        <f>汇总表1!#REF!</f>
        <v>#REF!</v>
      </c>
      <c r="D12" s="28">
        <v>37424536.68</v>
      </c>
      <c r="E12" s="30" t="e">
        <f>汇总表1!#REF!</f>
        <v>#REF!</v>
      </c>
      <c r="F12" s="31" t="e">
        <f t="shared" si="0"/>
        <v>#REF!</v>
      </c>
      <c r="G12" s="8" t="e">
        <f t="shared" si="1"/>
        <v>#REF!</v>
      </c>
      <c r="H12" s="34"/>
      <c r="I12">
        <f>44.84+164.58</f>
        <v>209.42</v>
      </c>
      <c r="J12">
        <f>I12+G8</f>
        <v>-16918.902935</v>
      </c>
    </row>
    <row r="13" ht="38" customHeight="1" spans="1:12">
      <c r="A13" s="25" t="e">
        <f>汇总表1!#REF!</f>
        <v>#REF!</v>
      </c>
      <c r="B13" s="26" t="e">
        <f>汇总表1!#REF!</f>
        <v>#REF!</v>
      </c>
      <c r="C13" s="25" t="e">
        <f>汇总表1!#REF!</f>
        <v>#REF!</v>
      </c>
      <c r="D13" s="25">
        <v>3993470.19</v>
      </c>
      <c r="E13" s="27" t="e">
        <f>汇总表1!#REF!</f>
        <v>#REF!</v>
      </c>
      <c r="F13" s="33" t="e">
        <f t="shared" si="0"/>
        <v>#REF!</v>
      </c>
      <c r="G13" s="7" t="e">
        <f t="shared" si="1"/>
        <v>#REF!</v>
      </c>
      <c r="H13" s="34"/>
      <c r="I13">
        <f>46.76-44.84</f>
        <v>1.91999999999999</v>
      </c>
      <c r="L13" t="e">
        <f>G13+G20+G27+G33+G39+G45+G57+G58+G59+G60+G70+G71</f>
        <v>#REF!</v>
      </c>
    </row>
    <row r="14" ht="38" customHeight="1" spans="1:12">
      <c r="A14" s="25" t="e">
        <f>汇总表1!#REF!</f>
        <v>#REF!</v>
      </c>
      <c r="B14" s="26" t="e">
        <f>汇总表1!#REF!</f>
        <v>#REF!</v>
      </c>
      <c r="C14" s="25" t="e">
        <f>汇总表1!#REF!</f>
        <v>#REF!</v>
      </c>
      <c r="D14" s="25">
        <v>868381.81</v>
      </c>
      <c r="E14" s="27" t="e">
        <f>汇总表1!#REF!</f>
        <v>#REF!</v>
      </c>
      <c r="F14" s="33" t="e">
        <f t="shared" si="0"/>
        <v>#REF!</v>
      </c>
      <c r="G14" s="7" t="e">
        <f t="shared" si="1"/>
        <v>#REF!</v>
      </c>
      <c r="H14" s="34"/>
      <c r="L14" t="s">
        <v>55</v>
      </c>
    </row>
    <row r="15" ht="38" customHeight="1" spans="1:8">
      <c r="A15" s="25" t="e">
        <f>汇总表1!#REF!</f>
        <v>#REF!</v>
      </c>
      <c r="B15" s="26" t="e">
        <f>汇总表1!#REF!</f>
        <v>#REF!</v>
      </c>
      <c r="C15" s="25" t="e">
        <f>汇总表1!#REF!</f>
        <v>#REF!</v>
      </c>
      <c r="D15" s="25">
        <v>3045036.49</v>
      </c>
      <c r="E15" s="27" t="e">
        <f>汇总表1!#REF!</f>
        <v>#REF!</v>
      </c>
      <c r="F15" s="33" t="e">
        <f t="shared" si="0"/>
        <v>#REF!</v>
      </c>
      <c r="G15" s="7" t="e">
        <f t="shared" si="1"/>
        <v>#REF!</v>
      </c>
      <c r="H15" s="34"/>
    </row>
    <row r="16" ht="38" customHeight="1" spans="1:11">
      <c r="A16" s="25" t="e">
        <f>汇总表1!#REF!</f>
        <v>#REF!</v>
      </c>
      <c r="B16" s="26" t="e">
        <f>汇总表1!#REF!</f>
        <v>#REF!</v>
      </c>
      <c r="C16" s="25" t="e">
        <f>汇总表1!#REF!</f>
        <v>#REF!</v>
      </c>
      <c r="D16" s="25">
        <v>35089.54</v>
      </c>
      <c r="E16" s="27" t="e">
        <f>汇总表1!#REF!</f>
        <v>#REF!</v>
      </c>
      <c r="F16" s="33" t="e">
        <f t="shared" si="0"/>
        <v>#REF!</v>
      </c>
      <c r="G16" s="7" t="e">
        <f t="shared" si="1"/>
        <v>#REF!</v>
      </c>
      <c r="H16" s="34"/>
      <c r="J16" t="s">
        <v>59</v>
      </c>
      <c r="K16" t="s">
        <v>59</v>
      </c>
    </row>
    <row r="17" ht="38" customHeight="1" spans="1:11">
      <c r="A17" s="25" t="e">
        <f>汇总表1!#REF!</f>
        <v>#REF!</v>
      </c>
      <c r="B17" s="26" t="e">
        <f>汇总表1!#REF!</f>
        <v>#REF!</v>
      </c>
      <c r="C17" s="25" t="e">
        <f>汇总表1!#REF!</f>
        <v>#REF!</v>
      </c>
      <c r="D17" s="25">
        <v>41990.42</v>
      </c>
      <c r="E17" s="27" t="e">
        <f>汇总表1!#REF!</f>
        <v>#REF!</v>
      </c>
      <c r="F17" s="33" t="e">
        <f t="shared" si="0"/>
        <v>#REF!</v>
      </c>
      <c r="G17" s="7" t="e">
        <f t="shared" si="1"/>
        <v>#REF!</v>
      </c>
      <c r="H17" s="34"/>
      <c r="J17">
        <f>80931.66*12</f>
        <v>971179.92</v>
      </c>
      <c r="K17">
        <f>60003.31+60003.31+25115.31+25115.31+35888.31+38479.31+39286.31+35485.31+32917.31+57160.31+16248.45+16248.45</f>
        <v>441951</v>
      </c>
    </row>
    <row r="18" ht="38" customHeight="1" spans="1:11">
      <c r="A18" s="25" t="e">
        <f>汇总表1!#REF!</f>
        <v>#REF!</v>
      </c>
      <c r="B18" s="26" t="e">
        <f>汇总表1!#REF!</f>
        <v>#REF!</v>
      </c>
      <c r="C18" s="25" t="e">
        <f>汇总表1!#REF!</f>
        <v>#REF!</v>
      </c>
      <c r="D18" s="25">
        <v>1684.46</v>
      </c>
      <c r="E18" s="27" t="e">
        <f>汇总表1!#REF!</f>
        <v>#REF!</v>
      </c>
      <c r="F18" s="33" t="e">
        <f t="shared" si="0"/>
        <v>#REF!</v>
      </c>
      <c r="G18" s="7" t="e">
        <f t="shared" si="1"/>
        <v>#REF!</v>
      </c>
      <c r="H18" s="34"/>
      <c r="K18">
        <f>J17-K17</f>
        <v>529228.92</v>
      </c>
    </row>
    <row r="19" ht="38" customHeight="1" spans="1:8">
      <c r="A19" s="25" t="e">
        <f>汇总表1!#REF!</f>
        <v>#REF!</v>
      </c>
      <c r="B19" s="26" t="e">
        <f>汇总表1!#REF!</f>
        <v>#REF!</v>
      </c>
      <c r="C19" s="25" t="e">
        <f>汇总表1!#REF!</f>
        <v>#REF!</v>
      </c>
      <c r="D19" s="25">
        <v>1287.47</v>
      </c>
      <c r="E19" s="27" t="e">
        <f>汇总表1!#REF!</f>
        <v>#REF!</v>
      </c>
      <c r="F19" s="33" t="e">
        <f t="shared" si="0"/>
        <v>#REF!</v>
      </c>
      <c r="G19" s="7" t="e">
        <f t="shared" si="1"/>
        <v>#REF!</v>
      </c>
      <c r="H19" s="34"/>
    </row>
    <row r="20" ht="38" customHeight="1" spans="1:8">
      <c r="A20" s="25" t="e">
        <f>汇总表1!#REF!</f>
        <v>#REF!</v>
      </c>
      <c r="B20" s="26" t="e">
        <f>汇总表1!#REF!</f>
        <v>#REF!</v>
      </c>
      <c r="C20" s="25" t="e">
        <f>汇总表1!#REF!</f>
        <v>#REF!</v>
      </c>
      <c r="D20" s="25">
        <v>1106830.35</v>
      </c>
      <c r="E20" s="27" t="e">
        <f>汇总表1!#REF!</f>
        <v>#REF!</v>
      </c>
      <c r="F20" s="33" t="e">
        <f t="shared" si="0"/>
        <v>#REF!</v>
      </c>
      <c r="G20" s="7" t="e">
        <f t="shared" si="1"/>
        <v>#REF!</v>
      </c>
      <c r="H20" s="34"/>
    </row>
    <row r="21" ht="38" customHeight="1" spans="1:8">
      <c r="A21" s="25" t="e">
        <f>汇总表1!#REF!</f>
        <v>#REF!</v>
      </c>
      <c r="B21" s="26" t="e">
        <f>汇总表1!#REF!</f>
        <v>#REF!</v>
      </c>
      <c r="C21" s="25" t="e">
        <f>汇总表1!#REF!</f>
        <v>#REF!</v>
      </c>
      <c r="D21" s="25">
        <v>820200.93</v>
      </c>
      <c r="E21" s="27" t="e">
        <f>汇总表1!#REF!</f>
        <v>#REF!</v>
      </c>
      <c r="F21" s="33" t="e">
        <f t="shared" si="0"/>
        <v>#REF!</v>
      </c>
      <c r="G21" s="7" t="e">
        <f t="shared" si="1"/>
        <v>#REF!</v>
      </c>
      <c r="H21" s="34"/>
    </row>
    <row r="22" ht="38" customHeight="1" spans="1:8">
      <c r="A22" s="25" t="e">
        <f>汇总表1!#REF!</f>
        <v>#REF!</v>
      </c>
      <c r="B22" s="26" t="e">
        <f>汇总表1!#REF!</f>
        <v>#REF!</v>
      </c>
      <c r="C22" s="25" t="e">
        <f>汇总表1!#REF!</f>
        <v>#REF!</v>
      </c>
      <c r="D22" s="25">
        <v>231827.1</v>
      </c>
      <c r="E22" s="27" t="e">
        <f>汇总表1!#REF!</f>
        <v>#REF!</v>
      </c>
      <c r="F22" s="33" t="e">
        <f t="shared" si="0"/>
        <v>#REF!</v>
      </c>
      <c r="G22" s="7" t="e">
        <f t="shared" si="1"/>
        <v>#REF!</v>
      </c>
      <c r="H22" s="34"/>
    </row>
    <row r="23" ht="38" customHeight="1" spans="1:8">
      <c r="A23" s="25" t="e">
        <f>汇总表1!#REF!</f>
        <v>#REF!</v>
      </c>
      <c r="B23" s="26" t="e">
        <f>汇总表1!#REF!</f>
        <v>#REF!</v>
      </c>
      <c r="C23" s="25" t="e">
        <f>汇总表1!#REF!</f>
        <v>#REF!</v>
      </c>
      <c r="D23" s="25">
        <v>31399.19</v>
      </c>
      <c r="E23" s="27" t="e">
        <f>汇总表1!#REF!</f>
        <v>#REF!</v>
      </c>
      <c r="F23" s="33" t="e">
        <f t="shared" si="0"/>
        <v>#REF!</v>
      </c>
      <c r="G23" s="7" t="e">
        <f t="shared" si="1"/>
        <v>#REF!</v>
      </c>
      <c r="H23" s="34"/>
    </row>
    <row r="24" ht="38" customHeight="1" spans="1:8">
      <c r="A24" s="25" t="e">
        <f>汇总表1!#REF!</f>
        <v>#REF!</v>
      </c>
      <c r="B24" s="26" t="e">
        <f>汇总表1!#REF!</f>
        <v>#REF!</v>
      </c>
      <c r="C24" s="25" t="e">
        <f>汇总表1!#REF!</f>
        <v>#REF!</v>
      </c>
      <c r="D24" s="25">
        <v>8930.11</v>
      </c>
      <c r="E24" s="27" t="e">
        <f>汇总表1!#REF!</f>
        <v>#REF!</v>
      </c>
      <c r="F24" s="33" t="e">
        <f t="shared" si="0"/>
        <v>#REF!</v>
      </c>
      <c r="G24" s="7" t="e">
        <f t="shared" si="1"/>
        <v>#REF!</v>
      </c>
      <c r="H24" s="34"/>
    </row>
    <row r="25" ht="38" customHeight="1" spans="1:8">
      <c r="A25" s="25" t="e">
        <f>汇总表1!#REF!</f>
        <v>#REF!</v>
      </c>
      <c r="B25" s="26" t="e">
        <f>汇总表1!#REF!</f>
        <v>#REF!</v>
      </c>
      <c r="C25" s="25" t="e">
        <f>汇总表1!#REF!</f>
        <v>#REF!</v>
      </c>
      <c r="D25" s="25">
        <v>13615.25</v>
      </c>
      <c r="E25" s="27" t="e">
        <f>汇总表1!#REF!</f>
        <v>#REF!</v>
      </c>
      <c r="F25" s="33" t="e">
        <f t="shared" si="0"/>
        <v>#REF!</v>
      </c>
      <c r="G25" s="7" t="e">
        <f t="shared" si="1"/>
        <v>#REF!</v>
      </c>
      <c r="H25" s="34"/>
    </row>
    <row r="26" ht="38" customHeight="1" spans="1:8">
      <c r="A26" s="25" t="e">
        <f>汇总表1!#REF!</f>
        <v>#REF!</v>
      </c>
      <c r="B26" s="26" t="e">
        <f>汇总表1!#REF!</f>
        <v>#REF!</v>
      </c>
      <c r="C26" s="25" t="e">
        <f>汇总表1!#REF!</f>
        <v>#REF!</v>
      </c>
      <c r="D26" s="25">
        <v>857.77</v>
      </c>
      <c r="E26" s="27" t="e">
        <f>汇总表1!#REF!</f>
        <v>#REF!</v>
      </c>
      <c r="F26" s="33" t="e">
        <f t="shared" si="0"/>
        <v>#REF!</v>
      </c>
      <c r="G26" s="7" t="e">
        <f t="shared" si="1"/>
        <v>#REF!</v>
      </c>
      <c r="H26" s="34"/>
    </row>
    <row r="27" ht="48" customHeight="1" spans="1:8">
      <c r="A27" s="25" t="e">
        <f>汇总表1!#REF!</f>
        <v>#REF!</v>
      </c>
      <c r="B27" s="26" t="e">
        <f>汇总表1!#REF!</f>
        <v>#REF!</v>
      </c>
      <c r="C27" s="25" t="e">
        <f>汇总表1!#REF!</f>
        <v>#REF!</v>
      </c>
      <c r="D27" s="25">
        <v>100686.01</v>
      </c>
      <c r="E27" s="27" t="e">
        <f>汇总表1!#REF!</f>
        <v>#REF!</v>
      </c>
      <c r="F27" s="33" t="e">
        <f t="shared" si="0"/>
        <v>#REF!</v>
      </c>
      <c r="G27" s="7" t="e">
        <f t="shared" si="1"/>
        <v>#REF!</v>
      </c>
      <c r="H27" s="34"/>
    </row>
    <row r="28" ht="38" customHeight="1" spans="1:8">
      <c r="A28" s="25" t="e">
        <f>汇总表1!#REF!</f>
        <v>#REF!</v>
      </c>
      <c r="B28" s="26" t="e">
        <f>汇总表1!#REF!</f>
        <v>#REF!</v>
      </c>
      <c r="C28" s="25" t="e">
        <f>汇总表1!#REF!</f>
        <v>#REF!</v>
      </c>
      <c r="D28" s="25">
        <v>60278.43</v>
      </c>
      <c r="E28" s="27" t="e">
        <f>汇总表1!#REF!</f>
        <v>#REF!</v>
      </c>
      <c r="F28" s="33" t="e">
        <f t="shared" si="0"/>
        <v>#REF!</v>
      </c>
      <c r="G28" s="7" t="e">
        <f t="shared" si="1"/>
        <v>#REF!</v>
      </c>
      <c r="H28" s="34"/>
    </row>
    <row r="29" ht="38" customHeight="1" spans="1:8">
      <c r="A29" s="25" t="e">
        <f>汇总表1!#REF!</f>
        <v>#REF!</v>
      </c>
      <c r="B29" s="26" t="e">
        <f>汇总表1!#REF!</f>
        <v>#REF!</v>
      </c>
      <c r="C29" s="25" t="e">
        <f>汇总表1!#REF!</f>
        <v>#REF!</v>
      </c>
      <c r="D29" s="25">
        <v>23304.23</v>
      </c>
      <c r="E29" s="27" t="e">
        <f>汇总表1!#REF!</f>
        <v>#REF!</v>
      </c>
      <c r="F29" s="33" t="e">
        <f t="shared" si="0"/>
        <v>#REF!</v>
      </c>
      <c r="G29" s="7" t="e">
        <f t="shared" si="1"/>
        <v>#REF!</v>
      </c>
      <c r="H29" s="34"/>
    </row>
    <row r="30" ht="38" customHeight="1" spans="1:8">
      <c r="A30" s="25" t="e">
        <f>汇总表1!#REF!</f>
        <v>#REF!</v>
      </c>
      <c r="B30" s="26" t="e">
        <f>汇总表1!#REF!</f>
        <v>#REF!</v>
      </c>
      <c r="C30" s="25" t="e">
        <f>汇总表1!#REF!</f>
        <v>#REF!</v>
      </c>
      <c r="D30" s="25">
        <v>2907.51</v>
      </c>
      <c r="E30" s="27" t="e">
        <f>汇总表1!#REF!</f>
        <v>#REF!</v>
      </c>
      <c r="F30" s="33" t="e">
        <f t="shared" si="0"/>
        <v>#REF!</v>
      </c>
      <c r="G30" s="7" t="e">
        <f t="shared" si="1"/>
        <v>#REF!</v>
      </c>
      <c r="H30" s="34"/>
    </row>
    <row r="31" ht="38" customHeight="1" spans="1:8">
      <c r="A31" s="25" t="e">
        <f>汇总表1!#REF!</f>
        <v>#REF!</v>
      </c>
      <c r="B31" s="26" t="e">
        <f>汇总表1!#REF!</f>
        <v>#REF!</v>
      </c>
      <c r="C31" s="25" t="e">
        <f>汇总表1!#REF!</f>
        <v>#REF!</v>
      </c>
      <c r="D31" s="25">
        <v>13981.39</v>
      </c>
      <c r="E31" s="27" t="e">
        <f>汇总表1!#REF!</f>
        <v>#REF!</v>
      </c>
      <c r="F31" s="33" t="e">
        <f t="shared" si="0"/>
        <v>#REF!</v>
      </c>
      <c r="G31" s="7" t="e">
        <f t="shared" si="1"/>
        <v>#REF!</v>
      </c>
      <c r="H31" s="34"/>
    </row>
    <row r="32" ht="38" customHeight="1" spans="1:8">
      <c r="A32" s="25" t="e">
        <f>汇总表1!#REF!</f>
        <v>#REF!</v>
      </c>
      <c r="B32" s="26" t="e">
        <f>汇总表1!#REF!</f>
        <v>#REF!</v>
      </c>
      <c r="C32" s="25" t="e">
        <f>汇总表1!#REF!</f>
        <v>#REF!</v>
      </c>
      <c r="D32" s="25">
        <v>214.45</v>
      </c>
      <c r="E32" s="27" t="e">
        <f>汇总表1!#REF!</f>
        <v>#REF!</v>
      </c>
      <c r="F32" s="33" t="e">
        <f t="shared" si="0"/>
        <v>#REF!</v>
      </c>
      <c r="G32" s="7" t="e">
        <f t="shared" si="1"/>
        <v>#REF!</v>
      </c>
      <c r="H32" s="34"/>
    </row>
    <row r="33" ht="38" customHeight="1" spans="1:8">
      <c r="A33" s="25" t="e">
        <f>汇总表1!#REF!</f>
        <v>#REF!</v>
      </c>
      <c r="B33" s="26" t="e">
        <f>汇总表1!#REF!</f>
        <v>#REF!</v>
      </c>
      <c r="C33" s="25" t="e">
        <f>汇总表1!#REF!</f>
        <v>#REF!</v>
      </c>
      <c r="D33" s="25">
        <v>73476.61</v>
      </c>
      <c r="E33" s="27" t="e">
        <f>汇总表1!#REF!</f>
        <v>#REF!</v>
      </c>
      <c r="F33" s="33" t="e">
        <f t="shared" si="0"/>
        <v>#REF!</v>
      </c>
      <c r="G33" s="7" t="e">
        <f t="shared" si="1"/>
        <v>#REF!</v>
      </c>
      <c r="H33" s="34"/>
    </row>
    <row r="34" ht="38" customHeight="1" spans="1:8">
      <c r="A34" s="25" t="e">
        <f>汇总表1!#REF!</f>
        <v>#REF!</v>
      </c>
      <c r="B34" s="26" t="e">
        <f>汇总表1!#REF!</f>
        <v>#REF!</v>
      </c>
      <c r="C34" s="25" t="e">
        <f>汇总表1!#REF!</f>
        <v>#REF!</v>
      </c>
      <c r="D34" s="25">
        <v>40212.56</v>
      </c>
      <c r="E34" s="27" t="e">
        <f>汇总表1!#REF!</f>
        <v>#REF!</v>
      </c>
      <c r="F34" s="33" t="e">
        <f t="shared" si="0"/>
        <v>#REF!</v>
      </c>
      <c r="G34" s="7" t="e">
        <f t="shared" si="1"/>
        <v>#REF!</v>
      </c>
      <c r="H34" s="34"/>
    </row>
    <row r="35" ht="38" customHeight="1" spans="1:8">
      <c r="A35" s="25" t="e">
        <f>汇总表1!#REF!</f>
        <v>#REF!</v>
      </c>
      <c r="B35" s="26" t="e">
        <f>汇总表1!#REF!</f>
        <v>#REF!</v>
      </c>
      <c r="C35" s="25" t="e">
        <f>汇总表1!#REF!</f>
        <v>#REF!</v>
      </c>
      <c r="D35" s="25">
        <v>16452.69</v>
      </c>
      <c r="E35" s="27" t="e">
        <f>汇总表1!#REF!</f>
        <v>#REF!</v>
      </c>
      <c r="F35" s="33" t="e">
        <f t="shared" si="0"/>
        <v>#REF!</v>
      </c>
      <c r="G35" s="7" t="e">
        <f t="shared" si="1"/>
        <v>#REF!</v>
      </c>
      <c r="H35" s="34"/>
    </row>
    <row r="36" ht="38" customHeight="1" spans="1:8">
      <c r="A36" s="25" t="e">
        <f>汇总表1!#REF!</f>
        <v>#REF!</v>
      </c>
      <c r="B36" s="26" t="e">
        <f>汇总表1!#REF!</f>
        <v>#REF!</v>
      </c>
      <c r="C36" s="25" t="e">
        <f>汇总表1!#REF!</f>
        <v>#REF!</v>
      </c>
      <c r="D36" s="25">
        <v>2907.51</v>
      </c>
      <c r="E36" s="27" t="e">
        <f>汇总表1!#REF!</f>
        <v>#REF!</v>
      </c>
      <c r="F36" s="33" t="e">
        <f t="shared" si="0"/>
        <v>#REF!</v>
      </c>
      <c r="G36" s="7" t="e">
        <f t="shared" si="1"/>
        <v>#REF!</v>
      </c>
      <c r="H36" s="34"/>
    </row>
    <row r="37" ht="36" customHeight="1" spans="1:8">
      <c r="A37" s="25" t="e">
        <f>汇总表1!#REF!</f>
        <v>#REF!</v>
      </c>
      <c r="B37" s="26" t="e">
        <f>汇总表1!#REF!</f>
        <v>#REF!</v>
      </c>
      <c r="C37" s="25" t="e">
        <f>汇总表1!#REF!</f>
        <v>#REF!</v>
      </c>
      <c r="D37" s="25">
        <v>13689.4</v>
      </c>
      <c r="E37" s="27" t="e">
        <f>汇总表1!#REF!</f>
        <v>#REF!</v>
      </c>
      <c r="F37" s="33" t="e">
        <f t="shared" si="0"/>
        <v>#REF!</v>
      </c>
      <c r="G37" s="7" t="e">
        <f t="shared" si="1"/>
        <v>#REF!</v>
      </c>
      <c r="H37" s="34"/>
    </row>
    <row r="38" ht="36" customHeight="1" spans="1:8">
      <c r="A38" s="25" t="e">
        <f>汇总表1!#REF!</f>
        <v>#REF!</v>
      </c>
      <c r="B38" s="26" t="e">
        <f>汇总表1!#REF!</f>
        <v>#REF!</v>
      </c>
      <c r="C38" s="25" t="e">
        <f>汇总表1!#REF!</f>
        <v>#REF!</v>
      </c>
      <c r="D38" s="25">
        <v>214.45</v>
      </c>
      <c r="E38" s="27" t="e">
        <f>汇总表1!#REF!</f>
        <v>#REF!</v>
      </c>
      <c r="F38" s="33" t="e">
        <f t="shared" ref="F38:F74" si="2">E38-D38</f>
        <v>#REF!</v>
      </c>
      <c r="G38" s="7" t="e">
        <f t="shared" ref="G38:G74" si="3">F38/10000</f>
        <v>#REF!</v>
      </c>
      <c r="H38" s="34"/>
    </row>
    <row r="39" ht="36" customHeight="1" spans="1:8">
      <c r="A39" s="25" t="e">
        <f>汇总表1!#REF!</f>
        <v>#REF!</v>
      </c>
      <c r="B39" s="26" t="e">
        <f>汇总表1!#REF!</f>
        <v>#REF!</v>
      </c>
      <c r="C39" s="25" t="e">
        <f>汇总表1!#REF!</f>
        <v>#REF!</v>
      </c>
      <c r="D39" s="25">
        <v>72694.07</v>
      </c>
      <c r="E39" s="27" t="e">
        <f>汇总表1!#REF!</f>
        <v>#REF!</v>
      </c>
      <c r="F39" s="33" t="e">
        <f t="shared" si="2"/>
        <v>#REF!</v>
      </c>
      <c r="G39" s="7" t="e">
        <f t="shared" si="3"/>
        <v>#REF!</v>
      </c>
      <c r="H39" s="34"/>
    </row>
    <row r="40" ht="36" customHeight="1" spans="1:8">
      <c r="A40" s="25" t="e">
        <f>汇总表1!#REF!</f>
        <v>#REF!</v>
      </c>
      <c r="B40" s="26" t="e">
        <f>汇总表1!#REF!</f>
        <v>#REF!</v>
      </c>
      <c r="C40" s="25" t="e">
        <f>汇总表1!#REF!</f>
        <v>#REF!</v>
      </c>
      <c r="D40" s="25">
        <v>38461.39</v>
      </c>
      <c r="E40" s="27" t="e">
        <f>汇总表1!#REF!</f>
        <v>#REF!</v>
      </c>
      <c r="F40" s="33" t="e">
        <f t="shared" si="2"/>
        <v>#REF!</v>
      </c>
      <c r="G40" s="7" t="e">
        <f t="shared" si="3"/>
        <v>#REF!</v>
      </c>
      <c r="H40" s="34"/>
    </row>
    <row r="41" ht="36" customHeight="1" spans="1:8">
      <c r="A41" s="25" t="e">
        <f>汇总表1!#REF!</f>
        <v>#REF!</v>
      </c>
      <c r="B41" s="26" t="e">
        <f>汇总表1!#REF!</f>
        <v>#REF!</v>
      </c>
      <c r="C41" s="25" t="e">
        <f>汇总表1!#REF!</f>
        <v>#REF!</v>
      </c>
      <c r="D41" s="25">
        <v>17289.3</v>
      </c>
      <c r="E41" s="27" t="e">
        <f>汇总表1!#REF!</f>
        <v>#REF!</v>
      </c>
      <c r="F41" s="33" t="e">
        <f t="shared" si="2"/>
        <v>#REF!</v>
      </c>
      <c r="G41" s="7" t="e">
        <f t="shared" si="3"/>
        <v>#REF!</v>
      </c>
      <c r="H41" s="34"/>
    </row>
    <row r="42" ht="36" customHeight="1" spans="1:8">
      <c r="A42" s="25" t="e">
        <f>汇总表1!#REF!</f>
        <v>#REF!</v>
      </c>
      <c r="B42" s="26" t="e">
        <f>汇总表1!#REF!</f>
        <v>#REF!</v>
      </c>
      <c r="C42" s="25" t="e">
        <f>汇总表1!#REF!</f>
        <v>#REF!</v>
      </c>
      <c r="D42" s="25">
        <v>2907.51</v>
      </c>
      <c r="E42" s="27" t="e">
        <f>汇总表1!#REF!</f>
        <v>#REF!</v>
      </c>
      <c r="F42" s="33" t="e">
        <f t="shared" si="2"/>
        <v>#REF!</v>
      </c>
      <c r="G42" s="7" t="e">
        <f t="shared" si="3"/>
        <v>#REF!</v>
      </c>
      <c r="H42" s="34"/>
    </row>
    <row r="43" ht="36" customHeight="1" spans="1:8">
      <c r="A43" s="25" t="e">
        <f>汇总表1!#REF!</f>
        <v>#REF!</v>
      </c>
      <c r="B43" s="26" t="e">
        <f>汇总表1!#REF!</f>
        <v>#REF!</v>
      </c>
      <c r="C43" s="25" t="e">
        <f>汇总表1!#REF!</f>
        <v>#REF!</v>
      </c>
      <c r="D43" s="25">
        <v>13821.42</v>
      </c>
      <c r="E43" s="27" t="e">
        <f>汇总表1!#REF!</f>
        <v>#REF!</v>
      </c>
      <c r="F43" s="33" t="e">
        <f t="shared" si="2"/>
        <v>#REF!</v>
      </c>
      <c r="G43" s="7" t="e">
        <f t="shared" si="3"/>
        <v>#REF!</v>
      </c>
      <c r="H43" s="34"/>
    </row>
    <row r="44" ht="36" customHeight="1" spans="1:8">
      <c r="A44" s="25" t="e">
        <f>汇总表1!#REF!</f>
        <v>#REF!</v>
      </c>
      <c r="B44" s="26" t="e">
        <f>汇总表1!#REF!</f>
        <v>#REF!</v>
      </c>
      <c r="C44" s="25" t="e">
        <f>汇总表1!#REF!</f>
        <v>#REF!</v>
      </c>
      <c r="D44" s="25">
        <v>214.45</v>
      </c>
      <c r="E44" s="27" t="e">
        <f>汇总表1!#REF!</f>
        <v>#REF!</v>
      </c>
      <c r="F44" s="33" t="e">
        <f t="shared" si="2"/>
        <v>#REF!</v>
      </c>
      <c r="G44" s="7" t="e">
        <f t="shared" si="3"/>
        <v>#REF!</v>
      </c>
      <c r="H44" s="34"/>
    </row>
    <row r="45" ht="36" customHeight="1" spans="1:8">
      <c r="A45" s="25" t="e">
        <f>汇总表1!#REF!</f>
        <v>#REF!</v>
      </c>
      <c r="B45" s="26" t="e">
        <f>汇总表1!#REF!</f>
        <v>#REF!</v>
      </c>
      <c r="C45" s="25" t="e">
        <f>汇总表1!#REF!</f>
        <v>#REF!</v>
      </c>
      <c r="D45" s="25">
        <v>179405.57</v>
      </c>
      <c r="E45" s="27" t="e">
        <f>汇总表1!#REF!</f>
        <v>#REF!</v>
      </c>
      <c r="F45" s="33" t="e">
        <f t="shared" si="2"/>
        <v>#REF!</v>
      </c>
      <c r="G45" s="7" t="e">
        <f t="shared" si="3"/>
        <v>#REF!</v>
      </c>
      <c r="H45" s="34"/>
    </row>
    <row r="46" customFormat="1" ht="36" customHeight="1" spans="1:8">
      <c r="A46" s="25" t="e">
        <f>汇总表1!#REF!</f>
        <v>#REF!</v>
      </c>
      <c r="B46" s="26" t="e">
        <f>汇总表1!#REF!</f>
        <v>#REF!</v>
      </c>
      <c r="C46" s="25" t="e">
        <f>汇总表1!#REF!</f>
        <v>#REF!</v>
      </c>
      <c r="D46" s="25">
        <v>57555.69</v>
      </c>
      <c r="E46" s="27" t="e">
        <f>汇总表1!#REF!</f>
        <v>#REF!</v>
      </c>
      <c r="F46" s="33" t="e">
        <f t="shared" si="2"/>
        <v>#REF!</v>
      </c>
      <c r="G46" s="7" t="e">
        <f t="shared" si="3"/>
        <v>#REF!</v>
      </c>
      <c r="H46" s="34"/>
    </row>
    <row r="47" customFormat="1" ht="36" customHeight="1" spans="1:8">
      <c r="A47" s="25" t="e">
        <f>汇总表1!#REF!</f>
        <v>#REF!</v>
      </c>
      <c r="B47" s="26" t="e">
        <f>汇总表1!#REF!</f>
        <v>#REF!</v>
      </c>
      <c r="C47" s="25" t="e">
        <f>汇总表1!#REF!</f>
        <v>#REF!</v>
      </c>
      <c r="D47" s="25">
        <v>81275.66</v>
      </c>
      <c r="E47" s="27" t="e">
        <f>汇总表1!#REF!</f>
        <v>#REF!</v>
      </c>
      <c r="F47" s="33" t="e">
        <f t="shared" si="2"/>
        <v>#REF!</v>
      </c>
      <c r="G47" s="7" t="e">
        <f t="shared" si="3"/>
        <v>#REF!</v>
      </c>
      <c r="H47" s="34"/>
    </row>
    <row r="48" customFormat="1" ht="36" customHeight="1" spans="1:8">
      <c r="A48" s="25" t="e">
        <f>汇总表1!#REF!</f>
        <v>#REF!</v>
      </c>
      <c r="B48" s="26" t="e">
        <f>汇总表1!#REF!</f>
        <v>#REF!</v>
      </c>
      <c r="C48" s="25" t="e">
        <f>汇总表1!#REF!</f>
        <v>#REF!</v>
      </c>
      <c r="D48" s="25">
        <v>15811.08</v>
      </c>
      <c r="E48" s="27" t="e">
        <f>汇总表1!#REF!</f>
        <v>#REF!</v>
      </c>
      <c r="F48" s="33" t="e">
        <f t="shared" si="2"/>
        <v>#REF!</v>
      </c>
      <c r="G48" s="7" t="e">
        <f t="shared" si="3"/>
        <v>#REF!</v>
      </c>
      <c r="H48" s="34"/>
    </row>
    <row r="49" customFormat="1" ht="36" customHeight="1" spans="1:8">
      <c r="A49" s="25" t="e">
        <f>汇总表1!#REF!</f>
        <v>#REF!</v>
      </c>
      <c r="B49" s="26" t="e">
        <f>汇总表1!#REF!</f>
        <v>#REF!</v>
      </c>
      <c r="C49" s="25" t="e">
        <f>汇总表1!#REF!</f>
        <v>#REF!</v>
      </c>
      <c r="D49" s="25">
        <v>13840.28</v>
      </c>
      <c r="E49" s="27" t="e">
        <f>汇总表1!#REF!</f>
        <v>#REF!</v>
      </c>
      <c r="F49" s="33" t="e">
        <f t="shared" si="2"/>
        <v>#REF!</v>
      </c>
      <c r="G49" s="7" t="e">
        <f t="shared" si="3"/>
        <v>#REF!</v>
      </c>
      <c r="H49" s="34"/>
    </row>
    <row r="50" customFormat="1" ht="36" customHeight="1" spans="1:8">
      <c r="A50" s="25" t="e">
        <f>汇总表1!#REF!</f>
        <v>#REF!</v>
      </c>
      <c r="B50" s="26" t="e">
        <f>汇总表1!#REF!</f>
        <v>#REF!</v>
      </c>
      <c r="C50" s="25" t="e">
        <f>汇总表1!#REF!</f>
        <v>#REF!</v>
      </c>
      <c r="D50" s="25">
        <v>10708.41</v>
      </c>
      <c r="E50" s="27" t="e">
        <f>汇总表1!#REF!</f>
        <v>#REF!</v>
      </c>
      <c r="F50" s="33" t="e">
        <f t="shared" si="2"/>
        <v>#REF!</v>
      </c>
      <c r="G50" s="7" t="e">
        <f t="shared" si="3"/>
        <v>#REF!</v>
      </c>
      <c r="H50" s="34"/>
    </row>
    <row r="51" customFormat="1" ht="36" customHeight="1" spans="1:8">
      <c r="A51" s="25" t="e">
        <f>汇总表1!#REF!</f>
        <v>#REF!</v>
      </c>
      <c r="B51" s="26" t="e">
        <f>汇总表1!#REF!</f>
        <v>#REF!</v>
      </c>
      <c r="C51" s="25" t="e">
        <f>汇总表1!#REF!</f>
        <v>#REF!</v>
      </c>
      <c r="D51" s="25">
        <v>214.45</v>
      </c>
      <c r="E51" s="27" t="e">
        <f>汇总表1!#REF!</f>
        <v>#REF!</v>
      </c>
      <c r="F51" s="33" t="e">
        <f t="shared" si="2"/>
        <v>#REF!</v>
      </c>
      <c r="G51" s="7" t="e">
        <f t="shared" si="3"/>
        <v>#REF!</v>
      </c>
      <c r="H51" s="34"/>
    </row>
    <row r="52" customFormat="1" ht="48" customHeight="1" spans="1:8">
      <c r="A52" s="25" t="e">
        <f>汇总表1!#REF!</f>
        <v>#REF!</v>
      </c>
      <c r="B52" s="26" t="e">
        <f>汇总表1!#REF!</f>
        <v>#REF!</v>
      </c>
      <c r="C52" s="25" t="e">
        <f>汇总表1!#REF!</f>
        <v>#REF!</v>
      </c>
      <c r="D52" s="25">
        <v>23448698.1</v>
      </c>
      <c r="E52" s="27" t="e">
        <f>汇总表1!#REF!</f>
        <v>#REF!</v>
      </c>
      <c r="F52" s="33" t="e">
        <f t="shared" si="2"/>
        <v>#REF!</v>
      </c>
      <c r="G52" s="7" t="e">
        <f t="shared" si="3"/>
        <v>#REF!</v>
      </c>
      <c r="H52" s="34"/>
    </row>
    <row r="53" customFormat="1" ht="36" customHeight="1" spans="1:8">
      <c r="A53" s="25" t="e">
        <f>汇总表1!#REF!</f>
        <v>#REF!</v>
      </c>
      <c r="B53" s="26" t="e">
        <f>汇总表1!#REF!</f>
        <v>#REF!</v>
      </c>
      <c r="C53" s="25" t="e">
        <f>汇总表1!#REF!</f>
        <v>#REF!</v>
      </c>
      <c r="D53" s="25">
        <v>5978529.18</v>
      </c>
      <c r="E53" s="27" t="e">
        <f>汇总表1!#REF!</f>
        <v>#REF!</v>
      </c>
      <c r="F53" s="33" t="e">
        <f t="shared" si="2"/>
        <v>#REF!</v>
      </c>
      <c r="G53" s="7" t="e">
        <f t="shared" si="3"/>
        <v>#REF!</v>
      </c>
      <c r="H53" s="34"/>
    </row>
    <row r="54" customFormat="1" ht="36" customHeight="1" spans="1:8">
      <c r="A54" s="25" t="e">
        <f>汇总表1!#REF!</f>
        <v>#REF!</v>
      </c>
      <c r="B54" s="26" t="e">
        <f>汇总表1!#REF!</f>
        <v>#REF!</v>
      </c>
      <c r="C54" s="25" t="e">
        <f>汇总表1!#REF!</f>
        <v>#REF!</v>
      </c>
      <c r="D54" s="25">
        <v>316892.6</v>
      </c>
      <c r="E54" s="27" t="e">
        <f>汇总表1!#REF!</f>
        <v>#REF!</v>
      </c>
      <c r="F54" s="33" t="e">
        <f t="shared" si="2"/>
        <v>#REF!</v>
      </c>
      <c r="G54" s="7" t="e">
        <f t="shared" si="3"/>
        <v>#REF!</v>
      </c>
      <c r="H54" s="34"/>
    </row>
    <row r="55" customFormat="1" ht="39" customHeight="1" spans="1:8">
      <c r="A55" s="25" t="e">
        <f>汇总表1!#REF!</f>
        <v>#REF!</v>
      </c>
      <c r="B55" s="26" t="e">
        <f>汇总表1!#REF!</f>
        <v>#REF!</v>
      </c>
      <c r="C55" s="25" t="e">
        <f>汇总表1!#REF!</f>
        <v>#REF!</v>
      </c>
      <c r="D55" s="25">
        <v>501036.95</v>
      </c>
      <c r="E55" s="27" t="e">
        <f>汇总表1!#REF!</f>
        <v>#REF!</v>
      </c>
      <c r="F55" s="33" t="e">
        <f t="shared" si="2"/>
        <v>#REF!</v>
      </c>
      <c r="G55" s="7" t="e">
        <f t="shared" si="3"/>
        <v>#REF!</v>
      </c>
      <c r="H55" s="34"/>
    </row>
    <row r="56" customFormat="1" ht="40" customHeight="1" spans="1:8">
      <c r="A56" s="25" t="e">
        <f>汇总表1!#REF!</f>
        <v>#REF!</v>
      </c>
      <c r="B56" s="26" t="e">
        <f>汇总表1!#REF!</f>
        <v>#REF!</v>
      </c>
      <c r="C56" s="25" t="e">
        <f>汇总表1!#REF!</f>
        <v>#REF!</v>
      </c>
      <c r="D56" s="25">
        <v>12910208.86</v>
      </c>
      <c r="E56" s="27" t="e">
        <f>汇总表1!#REF!</f>
        <v>#REF!</v>
      </c>
      <c r="F56" s="33" t="e">
        <f t="shared" si="2"/>
        <v>#REF!</v>
      </c>
      <c r="G56" s="7" t="e">
        <f t="shared" si="3"/>
        <v>#REF!</v>
      </c>
      <c r="H56" s="34"/>
    </row>
    <row r="57" customFormat="1" ht="32" customHeight="1" spans="1:8">
      <c r="A57" s="25" t="e">
        <f>汇总表1!#REF!</f>
        <v>#REF!</v>
      </c>
      <c r="B57" s="26" t="e">
        <f>汇总表1!#REF!</f>
        <v>#REF!</v>
      </c>
      <c r="C57" s="25" t="e">
        <f>汇总表1!#REF!</f>
        <v>#REF!</v>
      </c>
      <c r="D57" s="25">
        <v>2407684.67</v>
      </c>
      <c r="E57" s="27" t="e">
        <f>汇总表1!#REF!</f>
        <v>#REF!</v>
      </c>
      <c r="F57" s="33" t="e">
        <f t="shared" si="2"/>
        <v>#REF!</v>
      </c>
      <c r="G57" s="7" t="e">
        <f t="shared" si="3"/>
        <v>#REF!</v>
      </c>
      <c r="H57" s="34"/>
    </row>
    <row r="58" customFormat="1" ht="38" customHeight="1" spans="1:8">
      <c r="A58" s="25" t="e">
        <f>汇总表1!#REF!</f>
        <v>#REF!</v>
      </c>
      <c r="B58" s="26" t="e">
        <f>汇总表1!#REF!</f>
        <v>#REF!</v>
      </c>
      <c r="C58" s="25" t="e">
        <f>汇总表1!#REF!</f>
        <v>#REF!</v>
      </c>
      <c r="D58" s="25">
        <v>17522.9</v>
      </c>
      <c r="E58" s="27" t="e">
        <f>汇总表1!#REF!</f>
        <v>#REF!</v>
      </c>
      <c r="F58" s="33" t="e">
        <f t="shared" si="2"/>
        <v>#REF!</v>
      </c>
      <c r="G58" s="7" t="e">
        <f t="shared" si="3"/>
        <v>#REF!</v>
      </c>
      <c r="H58" s="34"/>
    </row>
    <row r="59" customFormat="1" ht="36" customHeight="1" spans="1:8">
      <c r="A59" s="25" t="e">
        <f>汇总表1!#REF!</f>
        <v>#REF!</v>
      </c>
      <c r="B59" s="26" t="e">
        <f>汇总表1!#REF!</f>
        <v>#REF!</v>
      </c>
      <c r="C59" s="25" t="e">
        <f>汇总表1!#REF!</f>
        <v>#REF!</v>
      </c>
      <c r="D59" s="25">
        <v>370681.97</v>
      </c>
      <c r="E59" s="27" t="e">
        <f>汇总表1!#REF!</f>
        <v>#REF!</v>
      </c>
      <c r="F59" s="33" t="e">
        <f t="shared" si="2"/>
        <v>#REF!</v>
      </c>
      <c r="G59" s="7" t="e">
        <f t="shared" si="3"/>
        <v>#REF!</v>
      </c>
      <c r="H59" s="34"/>
    </row>
    <row r="60" customFormat="1" ht="33" customHeight="1" spans="1:8">
      <c r="A60" s="25" t="e">
        <f>汇总表1!#REF!</f>
        <v>#REF!</v>
      </c>
      <c r="B60" s="26" t="e">
        <f>汇总表1!#REF!</f>
        <v>#REF!</v>
      </c>
      <c r="C60" s="25" t="e">
        <f>汇总表1!#REF!</f>
        <v>#REF!</v>
      </c>
      <c r="D60" s="25">
        <v>21143.55</v>
      </c>
      <c r="E60" s="27" t="e">
        <f>汇总表1!#REF!</f>
        <v>#REF!</v>
      </c>
      <c r="F60" s="33" t="e">
        <f t="shared" si="2"/>
        <v>#REF!</v>
      </c>
      <c r="G60" s="7" t="e">
        <f t="shared" si="3"/>
        <v>#REF!</v>
      </c>
      <c r="H60" s="34"/>
    </row>
    <row r="61" customFormat="1" ht="36" customHeight="1" spans="1:8">
      <c r="A61" s="25" t="e">
        <f>汇总表1!#REF!</f>
        <v>#REF!</v>
      </c>
      <c r="B61" s="26" t="e">
        <f>汇总表1!#REF!</f>
        <v>#REF!</v>
      </c>
      <c r="C61" s="25" t="e">
        <f>汇总表1!#REF!</f>
        <v>#REF!</v>
      </c>
      <c r="D61" s="25">
        <v>924997.42</v>
      </c>
      <c r="E61" s="27" t="e">
        <f>汇总表1!#REF!</f>
        <v>#REF!</v>
      </c>
      <c r="F61" s="33" t="e">
        <f t="shared" si="2"/>
        <v>#REF!</v>
      </c>
      <c r="G61" s="7" t="e">
        <f t="shared" si="3"/>
        <v>#REF!</v>
      </c>
      <c r="H61" s="34"/>
    </row>
    <row r="62" customFormat="1" ht="36" customHeight="1" spans="1:8">
      <c r="A62" s="25">
        <v>7.1</v>
      </c>
      <c r="B62" s="26" t="s">
        <v>213</v>
      </c>
      <c r="C62" s="25">
        <v>0</v>
      </c>
      <c r="D62" s="25">
        <v>0</v>
      </c>
      <c r="E62" s="27">
        <v>346784.64</v>
      </c>
      <c r="F62" s="33">
        <f t="shared" si="2"/>
        <v>346784.64</v>
      </c>
      <c r="G62" s="7">
        <f t="shared" si="3"/>
        <v>34.678464</v>
      </c>
      <c r="H62" s="34" t="s">
        <v>214</v>
      </c>
    </row>
    <row r="63" customFormat="1" ht="36" customHeight="1" spans="1:8">
      <c r="A63" s="25">
        <v>7.11</v>
      </c>
      <c r="B63" s="26" t="s">
        <v>215</v>
      </c>
      <c r="C63" s="25">
        <v>0</v>
      </c>
      <c r="D63" s="25">
        <v>0</v>
      </c>
      <c r="E63" s="27">
        <v>184042.61</v>
      </c>
      <c r="F63" s="33">
        <f t="shared" si="2"/>
        <v>184042.61</v>
      </c>
      <c r="G63" s="7">
        <f t="shared" si="3"/>
        <v>18.404261</v>
      </c>
      <c r="H63" s="34" t="s">
        <v>214</v>
      </c>
    </row>
    <row r="64" customFormat="1" ht="36" customHeight="1" spans="1:10">
      <c r="A64" s="25" t="e">
        <f>汇总表1!#REF!</f>
        <v>#REF!</v>
      </c>
      <c r="B64" s="26" t="e">
        <f>汇总表1!#REF!</f>
        <v>#REF!</v>
      </c>
      <c r="C64" s="25" t="e">
        <f>汇总表1!#REF!</f>
        <v>#REF!</v>
      </c>
      <c r="D64" s="25">
        <v>0</v>
      </c>
      <c r="E64" s="27" t="e">
        <f>汇总表1!#REF!</f>
        <v>#REF!</v>
      </c>
      <c r="F64" s="33" t="e">
        <f t="shared" si="2"/>
        <v>#REF!</v>
      </c>
      <c r="G64" s="7" t="e">
        <f t="shared" si="3"/>
        <v>#REF!</v>
      </c>
      <c r="H64" s="34"/>
      <c r="J64" s="1" t="e">
        <f>E64-上次发出稿!D80</f>
        <v>#REF!</v>
      </c>
    </row>
    <row r="65" customFormat="1" ht="36" customHeight="1" spans="1:11">
      <c r="A65" s="25" t="e">
        <f>汇总表1!#REF!</f>
        <v>#REF!</v>
      </c>
      <c r="B65" s="26" t="e">
        <f>汇总表1!#REF!</f>
        <v>#REF!</v>
      </c>
      <c r="C65" s="25" t="e">
        <f>汇总表1!#REF!</f>
        <v>#REF!</v>
      </c>
      <c r="D65" s="25">
        <v>8449275.78</v>
      </c>
      <c r="E65" s="27" t="e">
        <f>汇总表1!#REF!</f>
        <v>#REF!</v>
      </c>
      <c r="F65" s="33" t="e">
        <f t="shared" si="2"/>
        <v>#REF!</v>
      </c>
      <c r="G65" s="7" t="e">
        <f t="shared" si="3"/>
        <v>#REF!</v>
      </c>
      <c r="H65" s="34"/>
      <c r="J65">
        <f>260000-26000</f>
        <v>234000</v>
      </c>
      <c r="K65">
        <v>234000</v>
      </c>
    </row>
    <row r="66" customFormat="1" ht="36" customHeight="1" spans="1:11">
      <c r="A66" s="25" t="e">
        <f>汇总表1!#REF!</f>
        <v>#REF!</v>
      </c>
      <c r="B66" s="26" t="e">
        <f>汇总表1!#REF!</f>
        <v>#REF!</v>
      </c>
      <c r="C66" s="25" t="e">
        <f>汇总表1!#REF!</f>
        <v>#REF!</v>
      </c>
      <c r="D66" s="25">
        <v>3446290.62</v>
      </c>
      <c r="E66" s="27" t="e">
        <f>汇总表1!#REF!</f>
        <v>#REF!</v>
      </c>
      <c r="F66" s="33" t="e">
        <f t="shared" si="2"/>
        <v>#REF!</v>
      </c>
      <c r="G66" s="7" t="e">
        <f t="shared" si="3"/>
        <v>#REF!</v>
      </c>
      <c r="H66" s="34"/>
      <c r="K66">
        <f>28*5%</f>
        <v>1.4</v>
      </c>
    </row>
    <row r="67" customFormat="1" ht="36" customHeight="1" spans="1:8">
      <c r="A67" s="25" t="e">
        <f>汇总表1!#REF!</f>
        <v>#REF!</v>
      </c>
      <c r="B67" s="26" t="e">
        <f>汇总表1!#REF!</f>
        <v>#REF!</v>
      </c>
      <c r="C67" s="25" t="e">
        <f>汇总表1!#REF!</f>
        <v>#REF!</v>
      </c>
      <c r="D67" s="25">
        <v>3361296.67</v>
      </c>
      <c r="E67" s="27" t="e">
        <f>汇总表1!#REF!</f>
        <v>#REF!</v>
      </c>
      <c r="F67" s="33" t="e">
        <f t="shared" si="2"/>
        <v>#REF!</v>
      </c>
      <c r="G67" s="7" t="e">
        <f t="shared" si="3"/>
        <v>#REF!</v>
      </c>
      <c r="H67" s="34"/>
    </row>
    <row r="68" customFormat="1" ht="36" customHeight="1" spans="1:8">
      <c r="A68" s="25" t="e">
        <f>汇总表1!#REF!</f>
        <v>#REF!</v>
      </c>
      <c r="B68" s="26" t="e">
        <f>汇总表1!#REF!</f>
        <v>#REF!</v>
      </c>
      <c r="C68" s="25" t="e">
        <f>汇总表1!#REF!</f>
        <v>#REF!</v>
      </c>
      <c r="D68" s="25">
        <v>0</v>
      </c>
      <c r="E68" s="27" t="e">
        <f>汇总表1!#REF!</f>
        <v>#REF!</v>
      </c>
      <c r="F68" s="33" t="e">
        <f t="shared" si="2"/>
        <v>#REF!</v>
      </c>
      <c r="G68" s="7" t="e">
        <f t="shared" si="3"/>
        <v>#REF!</v>
      </c>
      <c r="H68" s="34" t="s">
        <v>214</v>
      </c>
    </row>
    <row r="69" customFormat="1" ht="36" customHeight="1" spans="1:8">
      <c r="A69" s="25" t="e">
        <f>汇总表1!#REF!</f>
        <v>#REF!</v>
      </c>
      <c r="B69" s="26" t="e">
        <f>汇总表1!#REF!</f>
        <v>#REF!</v>
      </c>
      <c r="C69" s="25" t="e">
        <f>汇总表1!#REF!</f>
        <v>#REF!</v>
      </c>
      <c r="D69" s="25">
        <v>1303369.91</v>
      </c>
      <c r="E69" s="27" t="e">
        <f>汇总表1!#REF!</f>
        <v>#REF!</v>
      </c>
      <c r="F69" s="33" t="e">
        <f t="shared" si="2"/>
        <v>#REF!</v>
      </c>
      <c r="G69" s="7" t="e">
        <f t="shared" si="3"/>
        <v>#REF!</v>
      </c>
      <c r="H69" s="34"/>
    </row>
    <row r="70" customFormat="1" ht="36" customHeight="1" spans="1:8">
      <c r="A70" s="25" t="e">
        <f>汇总表1!#REF!</f>
        <v>#REF!</v>
      </c>
      <c r="B70" s="26" t="e">
        <f>汇总表1!#REF!</f>
        <v>#REF!</v>
      </c>
      <c r="C70" s="25" t="e">
        <f>汇总表1!#REF!</f>
        <v>#REF!</v>
      </c>
      <c r="D70" s="25">
        <v>114969.04</v>
      </c>
      <c r="E70" s="27" t="e">
        <f>汇总表1!#REF!</f>
        <v>#REF!</v>
      </c>
      <c r="F70" s="33" t="e">
        <f t="shared" si="2"/>
        <v>#REF!</v>
      </c>
      <c r="G70" s="7" t="e">
        <f t="shared" si="3"/>
        <v>#REF!</v>
      </c>
      <c r="H70" s="34"/>
    </row>
    <row r="71" customFormat="1" ht="36" customHeight="1" spans="1:8">
      <c r="A71" s="25" t="e">
        <f>汇总表1!#REF!</f>
        <v>#REF!</v>
      </c>
      <c r="B71" s="26" t="e">
        <f>汇总表1!#REF!</f>
        <v>#REF!</v>
      </c>
      <c r="C71" s="25" t="e">
        <f>汇总表1!#REF!</f>
        <v>#REF!</v>
      </c>
      <c r="D71" s="25">
        <v>223349.54</v>
      </c>
      <c r="E71" s="27" t="e">
        <f>汇总表1!#REF!</f>
        <v>#REF!</v>
      </c>
      <c r="F71" s="33" t="e">
        <f t="shared" si="2"/>
        <v>#REF!</v>
      </c>
      <c r="G71" s="7" t="e">
        <f t="shared" si="3"/>
        <v>#REF!</v>
      </c>
      <c r="H71" s="34"/>
    </row>
    <row r="72" s="1" customFormat="1" ht="29" customHeight="1" spans="1:8">
      <c r="A72" s="28" t="e">
        <f>汇总表1!#REF!</f>
        <v>#REF!</v>
      </c>
      <c r="B72" s="29" t="e">
        <f>汇总表1!#REF!</f>
        <v>#REF!</v>
      </c>
      <c r="C72" s="28" t="e">
        <f>汇总表1!#REF!</f>
        <v>#REF!</v>
      </c>
      <c r="D72" s="28">
        <v>4617845.32637555</v>
      </c>
      <c r="E72" s="30" t="e">
        <f>汇总表1!#REF!</f>
        <v>#REF!</v>
      </c>
      <c r="F72" s="31" t="e">
        <f t="shared" si="2"/>
        <v>#REF!</v>
      </c>
      <c r="G72" s="8" t="e">
        <f t="shared" si="3"/>
        <v>#REF!</v>
      </c>
      <c r="H72" s="34"/>
    </row>
    <row r="73" s="1" customFormat="1" ht="29" customHeight="1" spans="1:10">
      <c r="A73" s="28" t="e">
        <f>汇总表1!#REF!</f>
        <v>#REF!</v>
      </c>
      <c r="B73" s="29" t="e">
        <f>汇总表1!#REF!</f>
        <v>#REF!</v>
      </c>
      <c r="C73" s="28" t="e">
        <f>汇总表1!#REF!</f>
        <v>#REF!</v>
      </c>
      <c r="D73" s="28">
        <v>10088736.2089913</v>
      </c>
      <c r="E73" s="30" t="e">
        <f>汇总表1!#REF!</f>
        <v>#REF!</v>
      </c>
      <c r="F73" s="31" t="e">
        <f t="shared" si="2"/>
        <v>#REF!</v>
      </c>
      <c r="G73" s="8" t="e">
        <f t="shared" si="3"/>
        <v>#REF!</v>
      </c>
      <c r="H73" s="34"/>
      <c r="J73" s="1" t="e">
        <f>E73-上次发出稿!D88</f>
        <v>#REF!</v>
      </c>
    </row>
    <row r="74" s="11" customFormat="1" ht="27" customHeight="1" spans="1:8">
      <c r="A74" s="28" t="str">
        <f>汇总表1!A12</f>
        <v>四</v>
      </c>
      <c r="B74" s="29" t="str">
        <f>汇总表1!B12</f>
        <v>合计</v>
      </c>
      <c r="C74" s="28" t="e">
        <f>汇总表1!#REF!</f>
        <v>#REF!</v>
      </c>
      <c r="D74" s="28">
        <v>346379943.175367</v>
      </c>
      <c r="E74" s="30">
        <f>汇总表1!C12</f>
        <v>0</v>
      </c>
      <c r="F74" s="31">
        <f t="shared" si="2"/>
        <v>-346379943.175367</v>
      </c>
      <c r="G74" s="8">
        <f t="shared" si="3"/>
        <v>-34637.9943175367</v>
      </c>
      <c r="H74" s="34"/>
    </row>
    <row r="75" ht="36" customHeight="1"/>
    <row r="76" ht="36" customHeight="1"/>
    <row r="77" ht="36" customHeight="1"/>
    <row r="78" ht="36" customHeight="1"/>
    <row r="79" ht="36" customHeight="1"/>
    <row r="80" ht="36" customHeight="1"/>
    <row r="81" ht="36" customHeight="1"/>
    <row r="82" ht="36" customHeight="1"/>
    <row r="83" ht="36" customHeight="1"/>
    <row r="84" ht="36" customHeight="1"/>
    <row r="85" ht="36" customHeight="1"/>
    <row r="86" ht="36" customHeight="1"/>
    <row r="87" ht="36" customHeight="1"/>
    <row r="88" ht="36" customHeight="1"/>
    <row r="89" ht="36" customHeight="1"/>
    <row r="90" ht="36" customHeight="1"/>
    <row r="91" ht="36" customHeight="1"/>
    <row r="92" ht="36" customHeight="1"/>
    <row r="93" ht="36" customHeight="1"/>
  </sheetData>
  <mergeCells count="10">
    <mergeCell ref="A1:H1"/>
    <mergeCell ref="A2:E2"/>
    <mergeCell ref="A3:A4"/>
    <mergeCell ref="B3:B4"/>
    <mergeCell ref="C3:C4"/>
    <mergeCell ref="D3:D4"/>
    <mergeCell ref="E3:E4"/>
    <mergeCell ref="F3:F4"/>
    <mergeCell ref="G3:G4"/>
    <mergeCell ref="H3:H4"/>
  </mergeCells>
  <printOptions horizontalCentered="1"/>
  <pageMargins left="0.751388888888889" right="0.751388888888889" top="0.60625" bottom="0.60625" header="0.5" footer="0.5"/>
  <pageSetup paperSize="9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workbookViewId="0">
      <selection activeCell="D5" sqref="D5"/>
    </sheetView>
  </sheetViews>
  <sheetFormatPr defaultColWidth="9" defaultRowHeight="14"/>
  <cols>
    <col min="1" max="1" width="5.5" style="2" customWidth="1"/>
    <col min="2" max="2" width="19.5" style="2" customWidth="1"/>
    <col min="3" max="3" width="14.3727272727273" style="2" customWidth="1"/>
    <col min="4" max="4" width="7.37272727272727" style="2" customWidth="1"/>
    <col min="5" max="5" width="13.3727272727273" style="2" customWidth="1"/>
    <col min="6" max="6" width="12" style="2" customWidth="1"/>
    <col min="7" max="7" width="13.7545454545455" style="2" customWidth="1"/>
    <col min="8" max="8" width="16.6272727272727" style="2" customWidth="1"/>
    <col min="9" max="9" width="16.1272727272727" style="2" customWidth="1"/>
    <col min="10" max="10" width="9" style="2"/>
    <col min="11" max="11" width="10.3727272727273" style="2"/>
    <col min="14" max="14" width="10.3727272727273"/>
  </cols>
  <sheetData>
    <row r="1" ht="33" customHeight="1" spans="1:9">
      <c r="A1" s="3" t="s">
        <v>216</v>
      </c>
      <c r="B1" s="3"/>
      <c r="C1" s="3"/>
      <c r="D1" s="3"/>
      <c r="E1" s="3"/>
      <c r="F1" s="3"/>
      <c r="G1" s="3"/>
      <c r="H1" s="3"/>
      <c r="I1" s="3"/>
    </row>
    <row r="2" s="1" customFormat="1" ht="25" customHeight="1" spans="1:11">
      <c r="A2" s="4" t="s">
        <v>2</v>
      </c>
      <c r="B2" s="4" t="s">
        <v>217</v>
      </c>
      <c r="C2" s="4" t="s">
        <v>218</v>
      </c>
      <c r="D2" s="4" t="s">
        <v>219</v>
      </c>
      <c r="E2" s="4" t="s">
        <v>220</v>
      </c>
      <c r="F2" s="5" t="s">
        <v>221</v>
      </c>
      <c r="G2" s="5" t="s">
        <v>222</v>
      </c>
      <c r="H2" s="4" t="s">
        <v>223</v>
      </c>
      <c r="I2" s="4" t="s">
        <v>8</v>
      </c>
      <c r="J2" s="9"/>
      <c r="K2" s="9"/>
    </row>
    <row r="3" s="1" customFormat="1" ht="21" customHeight="1" spans="1:11">
      <c r="A3" s="4"/>
      <c r="B3" s="4"/>
      <c r="C3" s="4"/>
      <c r="D3" s="4"/>
      <c r="E3" s="4" t="s">
        <v>224</v>
      </c>
      <c r="F3" s="4" t="s">
        <v>225</v>
      </c>
      <c r="G3" s="4" t="s">
        <v>226</v>
      </c>
      <c r="H3" s="4" t="s">
        <v>227</v>
      </c>
      <c r="I3" s="4"/>
      <c r="J3" s="9"/>
      <c r="K3" s="9"/>
    </row>
    <row r="4" s="1" customFormat="1" ht="21" customHeight="1" spans="1:11">
      <c r="A4" s="4"/>
      <c r="B4" s="4" t="s">
        <v>228</v>
      </c>
      <c r="C4" s="4"/>
      <c r="D4" s="4"/>
      <c r="E4" s="4"/>
      <c r="F4" s="4"/>
      <c r="G4" s="4"/>
      <c r="H4" s="4"/>
      <c r="I4" s="4"/>
      <c r="J4" s="9"/>
      <c r="K4" s="9"/>
    </row>
    <row r="5" ht="27" customHeight="1" spans="1:9">
      <c r="A5" s="6">
        <v>1</v>
      </c>
      <c r="B5" s="6" t="s">
        <v>229</v>
      </c>
      <c r="C5" s="6" t="s">
        <v>230</v>
      </c>
      <c r="D5" s="6" t="s">
        <v>231</v>
      </c>
      <c r="E5" s="6">
        <f>1623+171</f>
        <v>1794</v>
      </c>
      <c r="F5" s="7">
        <v>750</v>
      </c>
      <c r="G5" s="7">
        <v>670</v>
      </c>
      <c r="H5" s="6">
        <f>E5*(G5-F5)</f>
        <v>-143520</v>
      </c>
      <c r="I5" s="10" t="s">
        <v>232</v>
      </c>
    </row>
    <row r="6" ht="27" customHeight="1" spans="1:9">
      <c r="A6" s="6">
        <v>2</v>
      </c>
      <c r="B6" s="6" t="s">
        <v>229</v>
      </c>
      <c r="C6" s="6" t="s">
        <v>233</v>
      </c>
      <c r="D6" s="6" t="s">
        <v>231</v>
      </c>
      <c r="E6" s="6">
        <f>2919+2312+2492</f>
        <v>7723</v>
      </c>
      <c r="F6" s="7">
        <v>1100</v>
      </c>
      <c r="G6" s="7">
        <v>935</v>
      </c>
      <c r="H6" s="6">
        <f>E6*(G6-F6)</f>
        <v>-1274295</v>
      </c>
      <c r="I6" s="10" t="s">
        <v>232</v>
      </c>
    </row>
    <row r="7" ht="27" customHeight="1" spans="1:9">
      <c r="A7" s="6">
        <v>3</v>
      </c>
      <c r="B7" s="6" t="s">
        <v>229</v>
      </c>
      <c r="C7" s="6" t="s">
        <v>234</v>
      </c>
      <c r="D7" s="6" t="s">
        <v>231</v>
      </c>
      <c r="E7" s="6">
        <f>4911+1234+876+364</f>
        <v>7385</v>
      </c>
      <c r="F7" s="7">
        <v>1450</v>
      </c>
      <c r="G7" s="7">
        <v>1235</v>
      </c>
      <c r="H7" s="6">
        <f>E7*(G7-F7)</f>
        <v>-1587775</v>
      </c>
      <c r="I7" s="10" t="s">
        <v>232</v>
      </c>
    </row>
    <row r="8" customFormat="1" ht="27" customHeight="1" spans="1:11">
      <c r="A8" s="6">
        <v>4</v>
      </c>
      <c r="B8" s="6" t="s">
        <v>235</v>
      </c>
      <c r="C8" s="6"/>
      <c r="D8" s="6" t="s">
        <v>236</v>
      </c>
      <c r="E8" s="6"/>
      <c r="F8" s="7"/>
      <c r="G8" s="7"/>
      <c r="H8" s="6">
        <f>SUM(H5:H7)*0.2</f>
        <v>-601118</v>
      </c>
      <c r="I8" s="6"/>
      <c r="J8" s="2"/>
      <c r="K8" s="2"/>
    </row>
    <row r="9" s="1" customFormat="1" ht="27" customHeight="1" spans="1:11">
      <c r="A9" s="4"/>
      <c r="B9" s="4" t="s">
        <v>237</v>
      </c>
      <c r="C9" s="4"/>
      <c r="D9" s="4"/>
      <c r="E9" s="4"/>
      <c r="F9" s="4"/>
      <c r="G9" s="4"/>
      <c r="H9" s="4"/>
      <c r="I9" s="4"/>
      <c r="J9" s="9"/>
      <c r="K9" s="9"/>
    </row>
    <row r="10" ht="27" customHeight="1" spans="1:14">
      <c r="A10" s="6">
        <v>1</v>
      </c>
      <c r="B10" s="6" t="s">
        <v>237</v>
      </c>
      <c r="C10" s="6"/>
      <c r="D10" s="6" t="s">
        <v>236</v>
      </c>
      <c r="E10" s="6">
        <v>1</v>
      </c>
      <c r="F10" s="6">
        <v>6750607.7</v>
      </c>
      <c r="G10" s="6">
        <v>5889080.13</v>
      </c>
      <c r="H10" s="6">
        <f>E10*(G10-F10)</f>
        <v>-861527.570000001</v>
      </c>
      <c r="I10" s="6"/>
      <c r="K10" s="2">
        <v>985246.36</v>
      </c>
      <c r="N10">
        <v>299568.15</v>
      </c>
    </row>
    <row r="11" s="1" customFormat="1" ht="27" customHeight="1" spans="1:14">
      <c r="A11" s="4"/>
      <c r="B11" s="4" t="s">
        <v>145</v>
      </c>
      <c r="C11" s="4"/>
      <c r="D11" s="4"/>
      <c r="E11" s="4"/>
      <c r="F11" s="4"/>
      <c r="G11" s="4"/>
      <c r="H11" s="4">
        <f>SUM(H5:H10)</f>
        <v>-4468235.57</v>
      </c>
      <c r="I11" s="4"/>
      <c r="J11" s="9"/>
      <c r="K11" s="9">
        <v>818819.61</v>
      </c>
      <c r="N11" s="1">
        <v>8189.6</v>
      </c>
    </row>
    <row r="12" ht="27" customHeight="1" spans="11:14">
      <c r="K12" s="2">
        <v>319104.66</v>
      </c>
      <c r="N12">
        <v>889453.26</v>
      </c>
    </row>
    <row r="13" ht="27" customHeight="1" spans="11:14">
      <c r="K13" s="2">
        <v>59723.64</v>
      </c>
      <c r="N13">
        <v>818819.61</v>
      </c>
    </row>
    <row r="14" ht="27" customHeight="1" spans="11:14">
      <c r="K14" s="2">
        <v>167150.06</v>
      </c>
      <c r="N14">
        <v>121563.68</v>
      </c>
    </row>
    <row r="15" ht="27" customHeight="1" spans="11:14">
      <c r="K15" s="2">
        <v>51311.79</v>
      </c>
      <c r="N15">
        <v>299075.52</v>
      </c>
    </row>
    <row r="16" ht="27" customHeight="1" spans="11:14">
      <c r="K16" s="2">
        <v>30531.18</v>
      </c>
      <c r="N16">
        <v>167150.06</v>
      </c>
    </row>
    <row r="17" ht="27" customHeight="1" spans="11:14">
      <c r="K17" s="2">
        <v>1109268.58</v>
      </c>
      <c r="N17">
        <v>51311.79</v>
      </c>
    </row>
    <row r="18" ht="27" customHeight="1" spans="11:14">
      <c r="K18" s="2">
        <v>626107.02</v>
      </c>
      <c r="N18">
        <v>910701.12</v>
      </c>
    </row>
    <row r="19" ht="27" customHeight="1" spans="11:14">
      <c r="K19" s="2">
        <v>379886.5</v>
      </c>
      <c r="N19">
        <v>1164610.98</v>
      </c>
    </row>
    <row r="20" ht="27" customHeight="1" spans="11:14">
      <c r="K20" s="2">
        <v>81312.6</v>
      </c>
      <c r="N20">
        <v>30531.18</v>
      </c>
    </row>
    <row r="21" ht="27" customHeight="1" spans="11:14">
      <c r="K21" s="2">
        <v>665707</v>
      </c>
      <c r="N21">
        <v>395081.96</v>
      </c>
    </row>
    <row r="22" ht="27" customHeight="1" spans="11:14">
      <c r="K22" s="2">
        <v>142883.6</v>
      </c>
      <c r="N22">
        <v>65050.08</v>
      </c>
    </row>
    <row r="23" ht="27" customHeight="1" spans="11:14">
      <c r="K23" s="2">
        <v>427598.25</v>
      </c>
      <c r="N23">
        <v>19971.21</v>
      </c>
    </row>
    <row r="24" ht="27" customHeight="1" spans="11:14">
      <c r="K24" s="2">
        <v>24429.28</v>
      </c>
      <c r="N24">
        <v>14288.36</v>
      </c>
    </row>
    <row r="25" ht="27" customHeight="1" spans="14:14">
      <c r="N25">
        <v>32758.4</v>
      </c>
    </row>
    <row r="26" ht="27" customHeight="1" spans="11:14">
      <c r="K26" s="2">
        <f>SUM(K10:K25)</f>
        <v>5889080.13</v>
      </c>
      <c r="N26">
        <v>366245.46</v>
      </c>
    </row>
    <row r="27" ht="27" customHeight="1" spans="14:14">
      <c r="N27">
        <v>645833.79</v>
      </c>
    </row>
    <row r="28" ht="27" customHeight="1" spans="14:14">
      <c r="N28">
        <v>450403.49</v>
      </c>
    </row>
    <row r="29" ht="27" customHeight="1"/>
    <row r="30" ht="27" customHeight="1" spans="14:14">
      <c r="N30">
        <f>SUM(N10:N29)</f>
        <v>6750607.7</v>
      </c>
    </row>
    <row r="31" ht="27" customHeight="1"/>
    <row r="32" ht="27" customHeight="1"/>
    <row r="33" ht="27" customHeight="1"/>
    <row r="34" ht="27" customHeight="1"/>
    <row r="35" ht="27" customHeight="1"/>
    <row r="36" ht="27" customHeight="1"/>
    <row r="37" ht="27" customHeight="1"/>
  </sheetData>
  <mergeCells count="6">
    <mergeCell ref="A1:I1"/>
    <mergeCell ref="A2:A3"/>
    <mergeCell ref="B2:B3"/>
    <mergeCell ref="C2:C3"/>
    <mergeCell ref="D2:D3"/>
    <mergeCell ref="I2:I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Sheet1</vt:lpstr>
      <vt:lpstr>上次发出稿</vt:lpstr>
      <vt:lpstr>汇总表 (新)1014</vt:lpstr>
      <vt:lpstr>汇总表1</vt:lpstr>
      <vt:lpstr>汇总表 (新)</vt:lpstr>
      <vt:lpstr>汇总表</vt:lpstr>
      <vt:lpstr>Sheet2</vt:lpstr>
      <vt:lpstr>上报审核造价分析表</vt:lpstr>
      <vt:lpstr>水工附件1</vt:lpstr>
      <vt:lpstr>软基附件1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江文铂</cp:lastModifiedBy>
  <dcterms:created xsi:type="dcterms:W3CDTF">2020-12-07T13:32:00Z</dcterms:created>
  <dcterms:modified xsi:type="dcterms:W3CDTF">2022-09-09T07:56:46Z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F1FEAD58416F46AE9DAC1E6F3AA9B1E1</vt:lpwstr>
  </property>
  <property fmtid="{D5CDD505-2E9C-101B-9397-08002B2CF9AE}" pid="4" name="commondata">
    <vt:lpwstr>eyJoZGlkIjoiZjRjNWJjYzU5MTYxYzNjNGQwYzE5NWZiMzZmNTBiYzgifQ==</vt:lpwstr>
  </property>
</Properties>
</file>