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58" activeTab="1"/>
  </bookViews>
  <sheets>
    <sheet name="A4图册目录" sheetId="19" r:id="rId1"/>
    <sheet name="A3图册目录" sheetId="27" r:id="rId2"/>
    <sheet name="图册封面" sheetId="25" r:id="rId3"/>
    <sheet name="总目录" sheetId="22" r:id="rId4"/>
    <sheet name="意见的回复" sheetId="23" r:id="rId5"/>
    <sheet name="总表" sheetId="13" r:id="rId6"/>
    <sheet name="A3总表" sheetId="24" r:id="rId7"/>
    <sheet name="A3总表 (分片区)" sheetId="26" r:id="rId8"/>
    <sheet name="数量表" sheetId="21" r:id="rId9"/>
    <sheet name="工程量统计表（分片区）" sheetId="18" r:id="rId10"/>
    <sheet name="系数选用表" sheetId="16" r:id="rId11"/>
    <sheet name="经济分析" sheetId="20" r:id="rId12"/>
    <sheet name="原材料运距表" sheetId="10" r:id="rId13"/>
    <sheet name="二次运输分析" sheetId="15" r:id="rId14"/>
    <sheet name="生产路、生物通道 公示牌" sheetId="9" r:id="rId15"/>
    <sheet name="涵管、农渠数量" sheetId="11" r:id="rId16"/>
    <sheet name="下田坡道" sheetId="12" r:id="rId17"/>
    <sheet name="横梁 盖板" sheetId="14" r:id="rId18"/>
  </sheets>
  <definedNames>
    <definedName name="_xlnm.Print_Area" localSheetId="5">总表!$B$1:$M$66</definedName>
    <definedName name="_xlnm.Print_Titles" localSheetId="5">总表!$3:$5</definedName>
    <definedName name="_xlnm.Print_Area" localSheetId="13">二次运输分析!$A$1:$J$35</definedName>
    <definedName name="_xlnm.Print_Area" localSheetId="12">原材料运距表!$B$2:$F$17</definedName>
    <definedName name="_xlnm.Print_Area" localSheetId="9">'工程量统计表（分片区）'!$Q$23:$W$55</definedName>
    <definedName name="_xlnm.Print_Area" localSheetId="8">数量表!$B$1:$F$25</definedName>
    <definedName name="_xlnm.Print_Titles" localSheetId="8">数量表!$3:$3</definedName>
    <definedName name="_xlnm.Print_Area" localSheetId="6">A3总表!$B$1:$G$60</definedName>
    <definedName name="_xlnm.Print_Titles" localSheetId="6">A3总表!$3:$3</definedName>
    <definedName name="_xlnm.Print_Area" localSheetId="7">'A3总表 (分片区)'!$B$1:$G$75</definedName>
    <definedName name="_xlnm.Print_Titles" localSheetId="7">'A3总表 (分片区)'!$3:$3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<sst xmlns="http://schemas.openxmlformats.org/spreadsheetml/2006/main" count="1924" uniqueCount="600">
  <si>
    <t>2024年度阳江市阳春市三甲镇高标准农田改造提升建设项目（示范）</t>
  </si>
  <si>
    <t>初步设计  图册  目录</t>
  </si>
  <si>
    <t>序号</t>
  </si>
  <si>
    <t>图纸名称</t>
  </si>
  <si>
    <t>图号</t>
  </si>
  <si>
    <t>附注</t>
  </si>
  <si>
    <t>设计总说明</t>
  </si>
  <si>
    <t>GB-SM-01</t>
  </si>
  <si>
    <t xml:space="preserve">项目地理位置示意图 </t>
  </si>
  <si>
    <t>GB-SM-02</t>
  </si>
  <si>
    <t>一、灌溉排水工程</t>
  </si>
  <si>
    <t>项目区规划图</t>
  </si>
  <si>
    <t>GB-GH-01~06</t>
  </si>
  <si>
    <t>新修农渠Ⅱ横断面图</t>
  </si>
  <si>
    <t>GB-SJ-01</t>
  </si>
  <si>
    <t>新修农渠Ⅲ横断面图</t>
  </si>
  <si>
    <t>GB-SJ-02</t>
  </si>
  <si>
    <t>新修斗渠Ⅰ横断面图</t>
  </si>
  <si>
    <t>GB-SJ-03</t>
  </si>
  <si>
    <t>新修斗渠Ⅰ 纵断面图</t>
  </si>
  <si>
    <t>GB-SJ-04</t>
  </si>
  <si>
    <t>输水管设计大样图</t>
  </si>
  <si>
    <t>GB-SJ-05</t>
  </si>
  <si>
    <t>清理水沟断面图</t>
  </si>
  <si>
    <t>GB-SJ-06</t>
  </si>
  <si>
    <t>水泵安装示意图</t>
  </si>
  <si>
    <t>GB-SJ-07</t>
  </si>
  <si>
    <t>电杆设计大样图</t>
  </si>
  <si>
    <t>GB-SJ-08</t>
  </si>
  <si>
    <t>二、渠系建筑物工程</t>
  </si>
  <si>
    <t>人行盖板设计大样图</t>
  </si>
  <si>
    <t>GB-SJ-09</t>
  </si>
  <si>
    <t>人行盖板工程工程量表</t>
  </si>
  <si>
    <t>GB-SJ-10</t>
  </si>
  <si>
    <t>涵管设计大样图（一）</t>
  </si>
  <si>
    <t>GB-SJ-11</t>
  </si>
  <si>
    <t>涵管设计大样图（二）</t>
  </si>
  <si>
    <t>GB-SJ-12</t>
  </si>
  <si>
    <t>伸缩缝与横梁分布平面图</t>
  </si>
  <si>
    <t>GB-SJ-13</t>
  </si>
  <si>
    <t>下田坡道设计大样图</t>
  </si>
  <si>
    <t>GB-SJ-14</t>
  </si>
  <si>
    <t>下田坡道工程数量表</t>
  </si>
  <si>
    <t>GB-SJ-15</t>
  </si>
  <si>
    <t>松木闸板、水位尺、齿墙大样图</t>
  </si>
  <si>
    <t>GB-SJ-16</t>
  </si>
  <si>
    <t>三、田间道路工程</t>
  </si>
  <si>
    <t xml:space="preserve">水泥路面标准结构图 </t>
  </si>
  <si>
    <t>GB-SJ-17</t>
  </si>
  <si>
    <t>生产路-1 纵断面图</t>
  </si>
  <si>
    <t>GB-SJ-18</t>
  </si>
  <si>
    <t>生产路-2 纵断面图</t>
  </si>
  <si>
    <t>GB-SJ-19</t>
  </si>
  <si>
    <t>五、科技推广措施</t>
  </si>
  <si>
    <t>农情监测站示意图</t>
  </si>
  <si>
    <t>GB-SJ-20</t>
  </si>
  <si>
    <t>六、公示牌</t>
  </si>
  <si>
    <t xml:space="preserve">  竣工公示牌设计图一~二</t>
  </si>
  <si>
    <t>GB-SJ-21</t>
  </si>
  <si>
    <t>宣传栏设计图一~二</t>
  </si>
  <si>
    <t>GB-SJ-22</t>
  </si>
  <si>
    <t>施工图  图册  目录</t>
  </si>
  <si>
    <t>初步设计    图册</t>
  </si>
  <si>
    <t>（规划图、单体图）</t>
  </si>
  <si>
    <t xml:space="preserve">                        编制单位：广东粤水电勘测设计有限公司</t>
  </si>
  <si>
    <t xml:space="preserve">                        编制时间：二〇二三年十二月</t>
  </si>
  <si>
    <t>初步设计文件    总目录</t>
  </si>
  <si>
    <t>名称</t>
  </si>
  <si>
    <t>页数</t>
  </si>
  <si>
    <t>一</t>
  </si>
  <si>
    <t>初步设计文件  编制说明</t>
  </si>
  <si>
    <t>二</t>
  </si>
  <si>
    <t>项目计划报表</t>
  </si>
  <si>
    <t>三</t>
  </si>
  <si>
    <t>项目评审反馈意见的回复</t>
  </si>
  <si>
    <t>四</t>
  </si>
  <si>
    <t>2024年度阳江市阳春市三甲镇高标准农田改造提升建设项目（示范）初步设计报告</t>
  </si>
  <si>
    <t>五</t>
  </si>
  <si>
    <t>初步设计方案公示资料</t>
  </si>
  <si>
    <t>六</t>
  </si>
  <si>
    <t>项目工程量统计表（分片区统计并汇总）</t>
  </si>
  <si>
    <t>七</t>
  </si>
  <si>
    <t>概算书</t>
  </si>
  <si>
    <t>八</t>
  </si>
  <si>
    <t>设计图册（规划图、单体图）</t>
  </si>
  <si>
    <t>评审意见</t>
  </si>
  <si>
    <t>意见采纳及修改情况说明</t>
  </si>
  <si>
    <t>选项条件</t>
  </si>
  <si>
    <t>补充水质和土壤污染证明，
复核防洪排涝标准和计算、灌溉用水定额、水量平衡分析</t>
  </si>
  <si>
    <t>已核对、补充</t>
  </si>
  <si>
    <t>项目方案</t>
  </si>
  <si>
    <t>复核用水定额、复核水量平衡分析、复核防洪排涝标准和计算</t>
  </si>
  <si>
    <t>已复核，符合规范要求</t>
  </si>
  <si>
    <t>复核机耕路权属是否落实</t>
  </si>
  <si>
    <t>已复核，路权明确</t>
  </si>
  <si>
    <t>机耕路投资比例过大，复核必要性</t>
  </si>
  <si>
    <t>已修正，砼路面由C30调整为C25，减少路面垫层</t>
  </si>
  <si>
    <t>复核机耕路基本情况，分析原有灌溉口是否存在阻水情况</t>
  </si>
  <si>
    <t>已复核，增加清淤方案</t>
  </si>
  <si>
    <t>复核渠道水力计算局部冲淤情况</t>
  </si>
  <si>
    <t>补充选定区域的理由</t>
  </si>
  <si>
    <t>已补充</t>
  </si>
  <si>
    <t>投资预算</t>
  </si>
  <si>
    <t>单一规格的路、沟（渠）仅一个断面计算土石方量，应进一步细化</t>
  </si>
  <si>
    <t>已调整，增加路的断面图</t>
  </si>
  <si>
    <t>复核独立费取费标准及取费额</t>
  </si>
  <si>
    <t>已复核，修正</t>
  </si>
  <si>
    <t>复核工程投资</t>
  </si>
  <si>
    <t>已复核，按规范调整</t>
  </si>
  <si>
    <t>项目绩效</t>
  </si>
  <si>
    <t xml:space="preserve">复核效益分析预期是否合理 </t>
  </si>
  <si>
    <t>已复核，预期合理</t>
  </si>
  <si>
    <t>申报材料</t>
  </si>
  <si>
    <t>复核图表相关的申报材料</t>
  </si>
  <si>
    <t>广东粤水电勘测设计有限公司</t>
  </si>
  <si>
    <t>2024年度阳江市阳春市三甲镇高标准农田改造提升建设项目（示范）
平面规划一览表、主要工程数量表</t>
  </si>
  <si>
    <t>总序号</t>
  </si>
  <si>
    <t>项目-编号</t>
  </si>
  <si>
    <t>长度
（m）</t>
  </si>
  <si>
    <t>规  格</t>
  </si>
  <si>
    <t>材质</t>
  </si>
  <si>
    <t>位置</t>
  </si>
  <si>
    <t>渠系建筑物</t>
  </si>
  <si>
    <t>标识牌（块）</t>
  </si>
  <si>
    <t>涵管
D-50cm
（m/座）</t>
  </si>
  <si>
    <t>人行盖板（块）</t>
  </si>
  <si>
    <t>下田坡道（座）</t>
  </si>
  <si>
    <t>松木闸板（块）</t>
  </si>
  <si>
    <t>闸板-Ⅰ</t>
  </si>
  <si>
    <t>闸板-Ⅱ</t>
  </si>
  <si>
    <t>灌溉与排水工程</t>
  </si>
  <si>
    <t>（一）</t>
  </si>
  <si>
    <t>整修渠道</t>
  </si>
  <si>
    <t>9/3</t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</si>
  <si>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-1</t>
    </r>
  </si>
  <si>
    <r>
      <rPr>
        <sz val="9"/>
        <color theme="1"/>
        <rFont val="黑体"/>
        <charset val="134"/>
      </rPr>
      <t>宽</t>
    </r>
    <r>
      <rPr>
        <sz val="9"/>
        <rFont val="黑体"/>
        <charset val="134"/>
      </rPr>
      <t>0.5m×高0.5m</t>
    </r>
  </si>
  <si>
    <r>
      <rPr>
        <sz val="9"/>
        <color theme="1"/>
        <rFont val="黑体"/>
        <charset val="134"/>
      </rPr>
      <t>C20</t>
    </r>
    <r>
      <rPr>
        <sz val="9"/>
        <rFont val="黑体"/>
        <charset val="134"/>
      </rPr>
      <t>砼</t>
    </r>
  </si>
  <si>
    <t>庞洞村片区</t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</si>
  <si>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-2</t>
    </r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</si>
  <si>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-3</t>
    </r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</si>
  <si>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-4</t>
    </r>
  </si>
  <si>
    <t>C20砼</t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</si>
  <si>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-5</t>
    </r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</si>
  <si>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-6</t>
    </r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</si>
  <si>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-7</t>
    </r>
  </si>
  <si>
    <t>大新村片区</t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</si>
  <si>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-8</t>
    </r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</si>
  <si>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-9</t>
    </r>
  </si>
  <si>
    <t>4/2</t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</si>
  <si>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-10</t>
    </r>
  </si>
  <si>
    <t>京冲村片区</t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</si>
  <si>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-11</t>
    </r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</si>
  <si>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-12</t>
    </r>
  </si>
  <si>
    <t>新楼村片区</t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</si>
  <si>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-13</t>
    </r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</si>
  <si>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-14</t>
    </r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</si>
  <si>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-15</t>
    </r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</si>
  <si>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-16</t>
    </r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</si>
  <si>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-17</t>
    </r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</si>
  <si>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-18</t>
    </r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</si>
  <si>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-19</t>
    </r>
  </si>
  <si>
    <t>小计</t>
  </si>
  <si>
    <t>新修农渠Ⅲ-1</t>
  </si>
  <si>
    <t>宽0.6m×高0.6m</t>
  </si>
  <si>
    <t>5/1</t>
  </si>
  <si>
    <t>新修农渠Ⅲ-2</t>
  </si>
  <si>
    <t>新修农渠Ⅲ-3</t>
  </si>
  <si>
    <t>新修农渠Ⅲ-4</t>
  </si>
  <si>
    <t>新修农渠Ⅲ-5</t>
  </si>
  <si>
    <t>新修农渠Ⅲ-6</t>
  </si>
  <si>
    <t>新修农渠Ⅲ-7</t>
  </si>
  <si>
    <t>大冲村片区</t>
  </si>
  <si>
    <t>新修农渠Ⅲ-8</t>
  </si>
  <si>
    <t>旧渠增设</t>
  </si>
  <si>
    <t>维修重建增设</t>
  </si>
  <si>
    <t>项目</t>
  </si>
  <si>
    <t>涉及面积</t>
  </si>
  <si>
    <r>
      <rPr>
        <sz val="9"/>
        <color theme="1"/>
        <rFont val="黑体"/>
        <charset val="134"/>
      </rPr>
      <t>新修斗渠Ⅰ</t>
    </r>
    <r>
      <rPr>
        <sz val="9"/>
        <rFont val="黑体"/>
        <charset val="134"/>
      </rPr>
      <t>-1</t>
    </r>
  </si>
  <si>
    <r>
      <rPr>
        <sz val="9"/>
        <color theme="1"/>
        <rFont val="黑体"/>
        <charset val="134"/>
      </rPr>
      <t>宽</t>
    </r>
    <r>
      <rPr>
        <sz val="9"/>
        <rFont val="黑体"/>
        <charset val="134"/>
      </rPr>
      <t>1.0m×高1.0m</t>
    </r>
  </si>
  <si>
    <t>（二）</t>
  </si>
  <si>
    <t>PE输水管
（节水灌溉）</t>
  </si>
  <si>
    <t>1、PE管DN100,总长996m
2、PE管连接DN50,总长52.8m
3、阀门开关44个</t>
  </si>
  <si>
    <t>（三）</t>
  </si>
  <si>
    <t>维修及清理旧渠</t>
  </si>
  <si>
    <t>1、重建宽0.6m×高0.6m水沟=90米，盖板140块；重建宽1.0m×高1.0m水沟=12米
2、清理淤泥流砂，铺底C20砼厚10cm =1000米
3、清理清渠16000米
4、重修损毁旧渠C20砼渠身150米（宽20cm，高30cm)</t>
  </si>
  <si>
    <t>维修旧渠-1</t>
  </si>
  <si>
    <t>原宽0.6m，砖结构</t>
  </si>
  <si>
    <t xml:space="preserve">     塌方损坏严重，重建砼水渠，顶面全铺盖板80块</t>
  </si>
  <si>
    <t>B-1</t>
  </si>
  <si>
    <t>维修旧渠-2</t>
  </si>
  <si>
    <t xml:space="preserve">     塌方损坏严重，重建砼水渠，顶面全铺盖板60块</t>
  </si>
  <si>
    <t>B-2</t>
  </si>
  <si>
    <t>维修旧渠-3</t>
  </si>
  <si>
    <t xml:space="preserve">     损坏严重，重建宽1.0m×高1.0m砼水渠，增设松木闸板-Ⅰ</t>
  </si>
  <si>
    <t>B-3</t>
  </si>
  <si>
    <t>维修旧渠-4</t>
  </si>
  <si>
    <t>清理旧渠-1</t>
  </si>
  <si>
    <t>人工清理淤泥（流沙）厚15cm，漏水铺底C20砼长200m,10cm厚，修复渠身30m</t>
  </si>
  <si>
    <t>B-4</t>
  </si>
  <si>
    <t>清理旧渠-2</t>
  </si>
  <si>
    <t>B-5</t>
  </si>
  <si>
    <t>清理旧渠-3</t>
  </si>
  <si>
    <t>清理旧渠-4</t>
  </si>
  <si>
    <t>清理旧渠-5</t>
  </si>
  <si>
    <t>（四）</t>
  </si>
  <si>
    <t>水 泵</t>
  </si>
  <si>
    <t xml:space="preserve">  大冲片区设置抽水水泵一台，型号Y2-180-2，功率22KW。</t>
  </si>
  <si>
    <t>380V 线路架设</t>
  </si>
  <si>
    <t xml:space="preserve">  长250米。</t>
  </si>
  <si>
    <t>渠系建筑物工程</t>
  </si>
  <si>
    <t>人行盖板</t>
  </si>
  <si>
    <t>共208块，宽0.6m×高0.6m=202块，宽1.0m×高1.0m=6块</t>
  </si>
  <si>
    <t>下田坡道</t>
  </si>
  <si>
    <t>共83座，宽0.5m×高0.5m=51座， 宽0.6m×高0.6m=32座</t>
  </si>
  <si>
    <t>涵  管</t>
  </si>
  <si>
    <t>共3座，D-50cm，总长9m</t>
  </si>
  <si>
    <t>松木闸板</t>
  </si>
  <si>
    <t>共317块，其中渠道分岔口设置“松木闸板-Ⅰ”54块，放水口设置“松木闸板-Ⅱ”263块</t>
  </si>
  <si>
    <t>304不锈钢水位尺</t>
  </si>
  <si>
    <t>共28块，每条渠道一块</t>
  </si>
  <si>
    <t>项目标识牌</t>
  </si>
  <si>
    <t>28块</t>
  </si>
  <si>
    <t>田间道路工程</t>
  </si>
  <si>
    <r>
      <rPr>
        <sz val="9"/>
        <color theme="1"/>
        <rFont val="黑体"/>
        <charset val="134"/>
      </rPr>
      <t>生产路</t>
    </r>
    <r>
      <rPr>
        <sz val="9"/>
        <rFont val="黑体"/>
        <charset val="134"/>
      </rPr>
      <t>-1</t>
    </r>
  </si>
  <si>
    <t>长454m，宽4.5m，18cm厚水泥混凝土路面，位于庞洞村片区</t>
  </si>
  <si>
    <r>
      <rPr>
        <sz val="9"/>
        <color theme="1"/>
        <rFont val="黑体"/>
        <charset val="134"/>
      </rPr>
      <t>生产路</t>
    </r>
    <r>
      <rPr>
        <sz val="9"/>
        <rFont val="黑体"/>
        <charset val="134"/>
      </rPr>
      <t>-2</t>
    </r>
  </si>
  <si>
    <t>长45m，宽2.5m，18cm厚水泥混凝土路面，位于新楼村片区</t>
  </si>
  <si>
    <t>总长：499m</t>
  </si>
  <si>
    <t>科技推广措施</t>
  </si>
  <si>
    <t>农情监测站</t>
  </si>
  <si>
    <t>1座，设于庞洞村</t>
  </si>
  <si>
    <t>项目宣传牌
竣工公示牌</t>
  </si>
  <si>
    <t>各1座，设于庞洞村</t>
  </si>
  <si>
    <t>说明:
    1、本项目区规划高标准农田改造提升建设面积为2000亩，。
    2、本图平面基准采用2000国家大地坐标系，高程基准采用1985国家高程。</t>
  </si>
  <si>
    <t>2024年度阳江市阳春市三甲镇高标准农田改造提升建设项目（示范）
平面规划一览表</t>
  </si>
  <si>
    <t>项目名称及编号</t>
  </si>
  <si>
    <t>规格（宽m×高m）</t>
  </si>
  <si>
    <t>所在村</t>
  </si>
  <si>
    <t>0.5×0.5</t>
  </si>
  <si>
    <t>0.6×0.6</t>
  </si>
  <si>
    <t>1.0×1.0</t>
  </si>
  <si>
    <t>PE输水管（节水灌溉）</t>
  </si>
  <si>
    <t>B1-B5</t>
  </si>
  <si>
    <t>DN100</t>
  </si>
  <si>
    <t>PE管</t>
  </si>
  <si>
    <t>DN50</t>
  </si>
  <si>
    <t>1、淤泥（流沙）厚15cm，
2、各片区漏水铺底C20砼长200m
3、各片区修复渠身30m</t>
  </si>
  <si>
    <t>大新村清淤</t>
  </si>
  <si>
    <t>京冲村清淤</t>
  </si>
  <si>
    <t>庞洞村清淤</t>
  </si>
  <si>
    <t>新楼村清淤</t>
  </si>
  <si>
    <t>大冲村清淤</t>
  </si>
  <si>
    <t>型号Y2-180-2，功率22KW。</t>
  </si>
  <si>
    <t>1台</t>
  </si>
  <si>
    <t xml:space="preserve">  长250米，8米混凝土电杆5条</t>
  </si>
  <si>
    <t>宽4.5m，厚18cm</t>
  </si>
  <si>
    <t>C25砼</t>
  </si>
  <si>
    <t>共317块，“松木闸板-Ⅰ”54块，“松木闸板-Ⅱ”263块</t>
  </si>
  <si>
    <r>
      <rPr>
        <sz val="11"/>
        <color theme="1"/>
        <rFont val="黑体"/>
        <charset val="134"/>
      </rPr>
      <t>科技推广措施</t>
    </r>
    <r>
      <rPr>
        <sz val="9"/>
        <color theme="1"/>
        <rFont val="黑体"/>
        <charset val="134"/>
      </rPr>
      <t>：农情监测站1座，设于庞洞村</t>
    </r>
  </si>
  <si>
    <r>
      <rPr>
        <sz val="11"/>
        <color theme="1"/>
        <rFont val="黑体"/>
        <charset val="134"/>
      </rPr>
      <t>项目宣传牌、竣工公示牌：</t>
    </r>
    <r>
      <rPr>
        <sz val="9"/>
        <color theme="1"/>
        <rFont val="黑体"/>
        <charset val="134"/>
      </rPr>
      <t>各1座，设于庞洞村</t>
    </r>
  </si>
  <si>
    <t>说明: 1、本项目区规划高标准农田改造提升建设面积为2000亩，高效节水灌溉1000亩。
      2、本图平面基准采用2000国家大地坐标系，高程基准采用1985国家高程。</t>
  </si>
  <si>
    <t>项目宣传牌、竣工公示牌：各1座，设于庞洞村</t>
  </si>
  <si>
    <t>说明: 1、本项目区规划高标准农田改造提升建设面积为2000亩，高效节水灌溉1500亩。
      2、本图平面基准采用2000国家大地坐标系，高程基准采用1985国家高程。</t>
  </si>
  <si>
    <t>主要工程数量汇总表</t>
  </si>
  <si>
    <t>备 注</t>
  </si>
  <si>
    <t>总长8399m</t>
  </si>
  <si>
    <t>新修农渠Ⅱ</t>
  </si>
  <si>
    <t>宽0.5m×高0.5m：共4731m</t>
  </si>
  <si>
    <t>新修农渠Ⅲ</t>
  </si>
  <si>
    <t>宽0.6m×高0.6m：共3038m</t>
  </si>
  <si>
    <t>新修斗渠Ⅰ</t>
  </si>
  <si>
    <t>宽1.0m×高1.0m：共630m</t>
  </si>
  <si>
    <t>1、大冲片区设置抽水水泵一台，型号Y2-180-2，功率22KW。
2、380V 线路架设250米</t>
  </si>
  <si>
    <t>共317块，分岔口设置“松木闸板-Ⅰ”54块，放水口设置“松木闸板-Ⅱ”263块</t>
  </si>
  <si>
    <r>
      <rPr>
        <sz val="9"/>
        <color theme="1"/>
        <rFont val="宋体"/>
        <charset val="134"/>
      </rPr>
      <t>生产路</t>
    </r>
    <r>
      <rPr>
        <sz val="9"/>
        <rFont val="宋体"/>
        <charset val="134"/>
      </rPr>
      <t>-1</t>
    </r>
  </si>
  <si>
    <r>
      <rPr>
        <sz val="9"/>
        <color theme="1"/>
        <rFont val="宋体"/>
        <charset val="134"/>
      </rPr>
      <t>生产路</t>
    </r>
    <r>
      <rPr>
        <sz val="9"/>
        <rFont val="宋体"/>
        <charset val="134"/>
      </rPr>
      <t>-2</t>
    </r>
  </si>
  <si>
    <t>项目宣传牌、竣工公示牌各1座，设于庞洞村示牌</t>
  </si>
  <si>
    <t>项目工程量统计表（大新村片区）</t>
  </si>
  <si>
    <t>项目工程量统计表（京冲村片区）</t>
  </si>
  <si>
    <t>项目工程量统计表（庞洞村片区）</t>
  </si>
  <si>
    <t>项目工程量统计表（新楼村片区）</t>
  </si>
  <si>
    <t>工程名称</t>
  </si>
  <si>
    <t>分部工程量</t>
  </si>
  <si>
    <t>分项工程量</t>
  </si>
  <si>
    <t>单位</t>
  </si>
  <si>
    <t>数量</t>
  </si>
  <si>
    <t>单位工程量</t>
  </si>
  <si>
    <t>工程量
(合计)</t>
  </si>
  <si>
    <t>一、灌溉与排水工程</t>
  </si>
  <si>
    <t>新修农渠Ⅱ
宽0.5m×高0.5m</t>
  </si>
  <si>
    <t>m</t>
  </si>
  <si>
    <t>土方开挖</t>
  </si>
  <si>
    <r>
      <rPr>
        <sz val="10"/>
        <color indexed="8"/>
        <rFont val="宋体"/>
        <charset val="134"/>
      </rPr>
      <t>m</t>
    </r>
    <r>
      <rPr>
        <vertAlign val="superscript"/>
        <sz val="10"/>
        <color indexed="8"/>
        <rFont val="宋体"/>
        <charset val="134"/>
      </rPr>
      <t>3</t>
    </r>
  </si>
  <si>
    <t>土方回填</t>
  </si>
  <si>
    <t>C20砼渠道(渠肩)</t>
  </si>
  <si>
    <t>C20砼渠道(渠底)</t>
  </si>
  <si>
    <t>钢模板</t>
  </si>
  <si>
    <r>
      <rPr>
        <sz val="10"/>
        <color indexed="8"/>
        <rFont val="宋体"/>
        <charset val="134"/>
      </rPr>
      <t>m</t>
    </r>
    <r>
      <rPr>
        <vertAlign val="superscript"/>
        <sz val="10"/>
        <color indexed="8"/>
        <rFont val="宋体"/>
        <charset val="134"/>
      </rPr>
      <t>2</t>
    </r>
  </si>
  <si>
    <t>伸缩缝(聚乙烯)</t>
  </si>
  <si>
    <t>新修农渠Ⅲ
宽0.6m×高0.6m</t>
  </si>
  <si>
    <t>m3</t>
  </si>
  <si>
    <t>维修旧渠
（清理，加铺砼）</t>
  </si>
  <si>
    <t>清理淤泥、流沙</t>
  </si>
  <si>
    <t>漏水铺底C20砼</t>
  </si>
  <si>
    <t>修复损毁旧渠C20砼</t>
  </si>
  <si>
    <t>m2</t>
  </si>
  <si>
    <t>二、田间道路工程</t>
  </si>
  <si>
    <t>新建生产路</t>
  </si>
  <si>
    <t>米</t>
  </si>
  <si>
    <t>18cm厚C30砼面层</t>
  </si>
  <si>
    <t>石屑垫层</t>
  </si>
  <si>
    <t>10cm厚碎石垫层</t>
  </si>
  <si>
    <t>30cm厚素土夯实</t>
  </si>
  <si>
    <t>新修斗渠
宽1.0m×高1.0mm</t>
  </si>
  <si>
    <t>维修旧渠（重建）
宽0.6m×高0.6m</t>
  </si>
  <si>
    <t>缩缝</t>
  </si>
  <si>
    <t>三、科技推广措施：农情监测站1座，设于庞洞村</t>
  </si>
  <si>
    <t>项目工程量统计表（大冲村片区）</t>
  </si>
  <si>
    <t>18cm厚C25砼面层</t>
  </si>
  <si>
    <t>φ50PVC排水孔</t>
  </si>
  <si>
    <t>涵洞（涵管）
D-60cm</t>
  </si>
  <si>
    <t>C20砼垫层</t>
  </si>
  <si>
    <t>预制混凝土管安装</t>
  </si>
  <si>
    <t>二、水泵1座，380V线路架设长250米，8米混凝土电杆5条</t>
  </si>
  <si>
    <t>人行盖板
渠净宽0.6m</t>
  </si>
  <si>
    <t>座</t>
  </si>
  <si>
    <t>钢筋</t>
  </si>
  <si>
    <t>t</t>
  </si>
  <si>
    <t>C25砼盖板</t>
  </si>
  <si>
    <t>人行盖板
渠净宽1.0m</t>
  </si>
  <si>
    <t>下田坡道
渠净宽0.5m</t>
  </si>
  <si>
    <t>下田坡道
渠净宽0.6m</t>
  </si>
  <si>
    <t>个</t>
  </si>
  <si>
    <t>块</t>
  </si>
  <si>
    <t>灌溉保证率及灌溉水利用系数选用表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</si>
  <si>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</si>
  <si>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</si>
  <si>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</si>
  <si>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</si>
  <si>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</si>
  <si>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</si>
  <si>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</si>
  <si>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</si>
  <si>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</si>
  <si>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</si>
  <si>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</si>
  <si>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</si>
  <si>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全年</t>
  </si>
  <si>
    <t>标准名称</t>
  </si>
  <si>
    <t>灌溉保证率</t>
  </si>
  <si>
    <t>灌溉水
利用系数</t>
  </si>
  <si>
    <t>备注</t>
  </si>
  <si>
    <t>上旬</t>
  </si>
  <si>
    <t>分配率(%)</t>
  </si>
  <si>
    <t>《高标准农田建设标准 》
（NY/T 2148-2012）</t>
  </si>
  <si>
    <t>≥0.70</t>
  </si>
  <si>
    <t>东南区</t>
  </si>
  <si>
    <t>中旬</t>
  </si>
  <si>
    <t>《高标准基本农田建设标准》
（TD/T 1033-2012）</t>
  </si>
  <si>
    <t>80%-95%</t>
  </si>
  <si>
    <t>湿润地区</t>
  </si>
  <si>
    <t>下旬</t>
  </si>
  <si>
    <t>《广东省高标基本农田建设规范》
（试行）（2012 年 11 月）</t>
  </si>
  <si>
    <t>山地丘陵类型区</t>
  </si>
  <si>
    <t>月</t>
  </si>
  <si>
    <r>
      <rPr>
        <sz val="10"/>
        <color theme="1"/>
        <rFont val="宋体"/>
        <charset val="134"/>
      </rPr>
      <t>表10-1</t>
    </r>
    <r>
      <rPr>
        <sz val="12"/>
        <color theme="1"/>
        <rFont val="黑体"/>
        <charset val="134"/>
      </rPr>
      <t xml:space="preserve">    项目建成前生产结构及年投入、产生、收入情况表</t>
    </r>
  </si>
  <si>
    <t>农产品</t>
  </si>
  <si>
    <t>面积
（亩）</t>
  </si>
  <si>
    <t>亩产量
（公斤）</t>
  </si>
  <si>
    <t>总产量
（万公斤）</t>
  </si>
  <si>
    <t>成本
（万元）</t>
  </si>
  <si>
    <t>总产值
（万元）</t>
  </si>
  <si>
    <t>早稻</t>
  </si>
  <si>
    <t>晚稻</t>
  </si>
  <si>
    <t>蔬菜、花生、番薯、辣椒等</t>
  </si>
  <si>
    <t>合  计</t>
  </si>
  <si>
    <r>
      <rPr>
        <sz val="10"/>
        <color theme="1"/>
        <rFont val="宋体"/>
        <charset val="134"/>
      </rPr>
      <t>表10-2</t>
    </r>
    <r>
      <rPr>
        <sz val="12"/>
        <color theme="1"/>
        <rFont val="黑体"/>
        <charset val="134"/>
      </rPr>
      <t xml:space="preserve">    项目建成后生产结构及年投入、产生、收入情况表</t>
    </r>
  </si>
  <si>
    <t>项目区至三甲镇、阳春市区、主要石场距离统计表</t>
  </si>
  <si>
    <t>距离（km）</t>
  </si>
  <si>
    <t>综合运距（km）</t>
  </si>
  <si>
    <t>镇至市区距离</t>
  </si>
  <si>
    <t>阳春市——三甲镇政府</t>
  </si>
  <si>
    <t>镇至项目区距离</t>
  </si>
  <si>
    <t>三甲镇市场——大新村项目区</t>
  </si>
  <si>
    <t>三甲镇市场——京冲村项目区</t>
  </si>
  <si>
    <t>三甲镇市场——庞洞村项目区</t>
  </si>
  <si>
    <t>三甲镇市场——新楼村项目区</t>
  </si>
  <si>
    <t>镇至石场距离</t>
  </si>
  <si>
    <t>三甲镇政府——阳春七星石场</t>
  </si>
  <si>
    <t>不采用</t>
  </si>
  <si>
    <t>三甲镇政府——阳春新阳石场</t>
  </si>
  <si>
    <t>三甲镇政府——阳春并坑石场</t>
  </si>
  <si>
    <t>三甲镇政府——阳春鸿发石场</t>
  </si>
  <si>
    <t>本项目采用</t>
  </si>
  <si>
    <t>鉴于预算采用的材料价为市区原价，综合上述调查分析，本项目拟增加计算的原材料运距为：</t>
  </si>
  <si>
    <t>材料项目</t>
  </si>
  <si>
    <t>取材位置</t>
  </si>
  <si>
    <t>采用综合运距（km）</t>
  </si>
  <si>
    <t>块石、碎石</t>
  </si>
  <si>
    <t>鸿发石场</t>
  </si>
  <si>
    <t>砂</t>
  </si>
  <si>
    <t>三甲镇市场</t>
  </si>
  <si>
    <t>钢筋、水泥
柴油、汽油</t>
  </si>
  <si>
    <t>二次转运距离分析表</t>
  </si>
  <si>
    <t>项目长（m）</t>
  </si>
  <si>
    <t>规格</t>
  </si>
  <si>
    <t xml:space="preserve">材料 </t>
  </si>
  <si>
    <t>所属村</t>
  </si>
  <si>
    <t>二次转运距离分析（m）</t>
  </si>
  <si>
    <t>转运点——
项目起点</t>
  </si>
  <si>
    <t>项目
中间长度</t>
  </si>
  <si>
    <t>转运点——中间长度</t>
  </si>
  <si>
    <t>采用
加权平均
二次转运</t>
  </si>
  <si>
    <t>124米</t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</si>
  <si>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-20</t>
    </r>
  </si>
  <si>
    <r>
      <rPr>
        <sz val="9"/>
        <color theme="1"/>
        <rFont val="黑体"/>
        <charset val="134"/>
      </rPr>
      <t>新修农渠Ⅱ</t>
    </r>
    <r>
      <rPr>
        <sz val="9"/>
        <rFont val="黑体"/>
        <charset val="134"/>
      </rPr>
      <t>-21</t>
    </r>
  </si>
  <si>
    <t>大新村</t>
  </si>
  <si>
    <t>186米</t>
  </si>
  <si>
    <t>京冲村</t>
  </si>
  <si>
    <t>新楼村</t>
  </si>
  <si>
    <t>维修
旧渠</t>
  </si>
  <si>
    <t>新铺10cm厚C20砼</t>
  </si>
  <si>
    <t>维修旧渠-5</t>
  </si>
  <si>
    <t>生产路工程数量表</t>
  </si>
  <si>
    <t>项目名称</t>
  </si>
  <si>
    <t>长度</t>
  </si>
  <si>
    <t>水泥路面
宽度</t>
  </si>
  <si>
    <t>20cm厚
C25砼面层</t>
  </si>
  <si>
    <t>10cm厚
石屑垫层</t>
  </si>
  <si>
    <t>生物通道  单位工程数量表</t>
  </si>
  <si>
    <t>（m）</t>
  </si>
  <si>
    <r>
      <rPr>
        <sz val="9"/>
        <color theme="1"/>
        <rFont val="黑体"/>
        <charset val="134"/>
      </rPr>
      <t>（m</t>
    </r>
    <r>
      <rPr>
        <vertAlign val="superscript"/>
        <sz val="9"/>
        <color theme="1"/>
        <rFont val="黑体"/>
        <charset val="134"/>
      </rPr>
      <t>2</t>
    </r>
    <r>
      <rPr>
        <sz val="9"/>
        <color theme="1"/>
        <rFont val="黑体"/>
        <charset val="134"/>
      </rPr>
      <t>）</t>
    </r>
  </si>
  <si>
    <t>渠道类型</t>
  </si>
  <si>
    <t>净高
（m)</t>
  </si>
  <si>
    <t>净宽
（m)</t>
  </si>
  <si>
    <t>步级
（级）</t>
  </si>
  <si>
    <r>
      <rPr>
        <sz val="10"/>
        <color theme="1"/>
        <rFont val="宋体"/>
        <charset val="134"/>
      </rPr>
      <t>土方开挖
（m</t>
    </r>
    <r>
      <rPr>
        <vertAlign val="superscript"/>
        <sz val="10"/>
        <color theme="1"/>
        <rFont val="宋体"/>
        <charset val="134"/>
      </rPr>
      <t>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</si>
  <si>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土方回填
（m</t>
    </r>
    <r>
      <rPr>
        <vertAlign val="superscript"/>
        <sz val="10"/>
        <color theme="1"/>
        <rFont val="宋体"/>
        <charset val="134"/>
      </rPr>
      <t>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</si>
  <si>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石屑垫层
（m</t>
    </r>
    <r>
      <rPr>
        <vertAlign val="superscript"/>
        <sz val="10"/>
        <color theme="1"/>
        <rFont val="宋体"/>
        <charset val="134"/>
      </rPr>
      <t>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</si>
  <si>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钢模板（m</t>
    </r>
    <r>
      <rPr>
        <vertAlign val="superscript"/>
        <sz val="10"/>
        <color theme="1"/>
        <rFont val="宋体"/>
        <charset val="134"/>
      </rPr>
      <t>2</t>
    </r>
    <r>
      <rPr>
        <sz val="10"/>
        <color theme="1"/>
        <rFont val="宋体"/>
        <charset val="134"/>
      </rPr>
      <t>）</t>
    </r>
  </si>
  <si>
    <t>C20砼（m3）</t>
  </si>
  <si>
    <t>生产路-1</t>
  </si>
  <si>
    <t>渠身</t>
  </si>
  <si>
    <t>生产路-2</t>
  </si>
  <si>
    <t>宽0.5m×高0.5m</t>
  </si>
  <si>
    <t>小  计</t>
  </si>
  <si>
    <t>宽0.8m×高0.8m</t>
  </si>
  <si>
    <t>宽1.0m×高1.0m</t>
  </si>
  <si>
    <t>路基土方开挖 工程数量表</t>
  </si>
  <si>
    <t>桩号</t>
  </si>
  <si>
    <t>断面面积</t>
  </si>
  <si>
    <r>
      <rPr>
        <sz val="10"/>
        <color theme="1"/>
        <rFont val="宋体"/>
        <charset val="134"/>
        <scheme val="minor"/>
      </rPr>
      <t>平均面积(m</t>
    </r>
    <r>
      <rPr>
        <vertAlign val="superscript"/>
        <sz val="10"/>
        <color theme="1"/>
        <rFont val="宋体"/>
        <charset val="134"/>
        <scheme val="minor"/>
      </rPr>
      <t>2</t>
    </r>
    <r>
      <rPr>
        <sz val="10"/>
        <color theme="1"/>
        <rFont val="宋体"/>
        <charset val="134"/>
        <scheme val="minor"/>
      </rPr>
      <t>)</t>
    </r>
  </si>
  <si>
    <t>距离（m）</t>
  </si>
  <si>
    <r>
      <rPr>
        <sz val="10"/>
        <color theme="1"/>
        <rFont val="宋体"/>
        <charset val="134"/>
        <scheme val="minor"/>
      </rPr>
      <t>数量（m</t>
    </r>
    <r>
      <rPr>
        <vertAlign val="superscript"/>
        <sz val="10"/>
        <color theme="1"/>
        <rFont val="宋体"/>
        <charset val="134"/>
        <scheme val="minor"/>
      </rPr>
      <t>3</t>
    </r>
    <r>
      <rPr>
        <sz val="10"/>
        <color theme="1"/>
        <rFont val="宋体"/>
        <charset val="134"/>
        <scheme val="minor"/>
      </rPr>
      <t>）</t>
    </r>
  </si>
  <si>
    <t>K0+100</t>
  </si>
  <si>
    <t>K0+200</t>
  </si>
  <si>
    <t>K0+300</t>
  </si>
  <si>
    <t>K0+400</t>
  </si>
  <si>
    <t>K0+454</t>
  </si>
  <si>
    <t>合计</t>
  </si>
  <si>
    <t>PE输水管工程数量表</t>
  </si>
  <si>
    <t>工程数量表</t>
  </si>
  <si>
    <t>PE给水管</t>
  </si>
  <si>
    <t>管径</t>
  </si>
  <si>
    <t>挖土方</t>
  </si>
  <si>
    <t>回填土方</t>
  </si>
  <si>
    <t>阀门</t>
  </si>
  <si>
    <t>连接PE管道</t>
  </si>
  <si>
    <t>C20砼底板厚100</t>
  </si>
  <si>
    <t>MU10普通砼砖</t>
  </si>
  <si>
    <t>20mm厚牌身1：2砂浆打底，面贴饰面砖</t>
  </si>
  <si>
    <t>（mm）</t>
  </si>
  <si>
    <r>
      <rPr>
        <sz val="9"/>
        <color theme="1"/>
        <rFont val="黑体"/>
        <charset val="134"/>
      </rPr>
      <t>（m</t>
    </r>
    <r>
      <rPr>
        <vertAlign val="superscript"/>
        <sz val="9"/>
        <color theme="1"/>
        <rFont val="黑体"/>
        <charset val="134"/>
      </rPr>
      <t>3</t>
    </r>
    <r>
      <rPr>
        <sz val="9"/>
        <color theme="1"/>
        <rFont val="黑体"/>
        <charset val="134"/>
      </rPr>
      <t>）</t>
    </r>
  </si>
  <si>
    <t>内径
（mm）</t>
  </si>
  <si>
    <t>（个）</t>
  </si>
  <si>
    <t>每段长
（m）</t>
  </si>
  <si>
    <t>总长（m）</t>
  </si>
  <si>
    <t>B-1输水管</t>
  </si>
  <si>
    <t>公式</t>
  </si>
  <si>
    <t>（2.4+3.4）/2*0.5*1.05+0.5*0.5*（2.4+3.4）/2</t>
  </si>
  <si>
    <t>（0.5*0.5+0.6）*（2.4+3.4）/2</t>
  </si>
  <si>
    <t>2*0.65*0.1</t>
  </si>
  <si>
    <t>0.8*0.45*1.8+1.2*0.3*1.8</t>
  </si>
  <si>
    <t>2.1*1.8*2+0.45*1.8</t>
  </si>
  <si>
    <t>B-2输水管</t>
  </si>
  <si>
    <t>B-3输水管</t>
  </si>
  <si>
    <t>B-4输水管</t>
  </si>
  <si>
    <t>B-5输水管</t>
  </si>
  <si>
    <t>清理和修复损毁渠道工程数量表</t>
  </si>
  <si>
    <t>厚度</t>
  </si>
  <si>
    <t>宽度</t>
  </si>
  <si>
    <t>高度</t>
  </si>
  <si>
    <t>瓷砖板刻字、刻图（公示牌1.8m ×1.2m）</t>
  </si>
  <si>
    <t>清理旧渠-1（大新村）</t>
  </si>
  <si>
    <t>清理旧渠-2（京冲村）</t>
  </si>
  <si>
    <t>清理旧渠-3（庞洞村）</t>
  </si>
  <si>
    <t>清理旧渠-4（新楼村）</t>
  </si>
  <si>
    <t>清理旧渠-5（大冲村）</t>
  </si>
  <si>
    <t>新修农渠数据汇总表</t>
  </si>
  <si>
    <t>规 格</t>
  </si>
  <si>
    <t>规格参数</t>
  </si>
  <si>
    <t>宽0.4m×高0.4m</t>
  </si>
  <si>
    <t>新修农渠Ⅰ单位工程量</t>
  </si>
  <si>
    <t>新修农渠Ⅱ单位工程量</t>
  </si>
  <si>
    <t>净宽</t>
  </si>
  <si>
    <t>净高</t>
  </si>
  <si>
    <t>渠壁厚</t>
  </si>
  <si>
    <t>砼底板宽度</t>
  </si>
  <si>
    <t>砼底板厚度</t>
  </si>
  <si>
    <t>砂垫层厚度</t>
  </si>
  <si>
    <t>清 单</t>
  </si>
  <si>
    <t>工程量</t>
  </si>
  <si>
    <t>现浇C20砼渠道(渠肩)</t>
  </si>
  <si>
    <t>现浇C20砼渠道(渠底)</t>
  </si>
  <si>
    <t>宽1.2m×高1.0m</t>
  </si>
  <si>
    <t>伸缩缝</t>
  </si>
  <si>
    <t>新修农渠Ⅲ单位工程量</t>
  </si>
  <si>
    <t>新修农渠Ⅳ单位工程量</t>
  </si>
  <si>
    <r>
      <rPr>
        <b/>
        <sz val="16"/>
        <rFont val="宋体"/>
        <charset val="134"/>
      </rPr>
      <t>涵</t>
    </r>
    <r>
      <rPr>
        <b/>
        <sz val="16"/>
        <color indexed="8"/>
        <rFont val="宋体"/>
        <charset val="134"/>
      </rPr>
      <t>管工程量表</t>
    </r>
  </si>
  <si>
    <t>涵管直径</t>
  </si>
  <si>
    <t>涵管长度</t>
  </si>
  <si>
    <t>涵管半径（r）</t>
  </si>
  <si>
    <t>涵管厚度（a）</t>
  </si>
  <si>
    <t>垫层厚度</t>
  </si>
  <si>
    <t>现浇C20砼垫层</t>
  </si>
  <si>
    <t>mm</t>
  </si>
  <si>
    <r>
      <rPr>
        <sz val="10"/>
        <rFont val="宋体"/>
        <charset val="134"/>
        <scheme val="minor"/>
      </rPr>
      <t>m</t>
    </r>
    <r>
      <rPr>
        <vertAlign val="superscript"/>
        <sz val="10"/>
        <rFont val="宋体"/>
        <charset val="134"/>
        <scheme val="minor"/>
      </rPr>
      <t>3</t>
    </r>
  </si>
  <si>
    <t>d=400</t>
  </si>
  <si>
    <t>d=500</t>
  </si>
  <si>
    <t>d=600</t>
  </si>
  <si>
    <t>d=800</t>
  </si>
  <si>
    <t>d=1000</t>
  </si>
  <si>
    <t>d=1200</t>
  </si>
  <si>
    <t>d=1500</t>
  </si>
  <si>
    <r>
      <rPr>
        <sz val="12"/>
        <rFont val="仿宋_GB2312"/>
        <charset val="134"/>
      </rPr>
      <t>合计</t>
    </r>
  </si>
  <si>
    <t>新修斗渠Ⅰ单位工程量</t>
  </si>
  <si>
    <t>新修斗渠Ⅱ单位工程量</t>
  </si>
  <si>
    <t>d=300</t>
  </si>
  <si>
    <t>每座下田坡道配筋表</t>
  </si>
  <si>
    <t>类型</t>
  </si>
  <si>
    <t>跨渠道规格</t>
  </si>
  <si>
    <t>编号</t>
  </si>
  <si>
    <t>略图</t>
  </si>
  <si>
    <t>直径</t>
  </si>
  <si>
    <t>单根长度</t>
  </si>
  <si>
    <t>单位重量</t>
  </si>
  <si>
    <t>重量</t>
  </si>
  <si>
    <t>总重量</t>
  </si>
  <si>
    <t>渠道宽(m)</t>
  </si>
  <si>
    <t>渠壁厚(m)</t>
  </si>
  <si>
    <t>（根）</t>
  </si>
  <si>
    <t>(kg/m)</t>
  </si>
  <si>
    <t>（kg）</t>
  </si>
  <si>
    <t>下田坡道Ⅰ</t>
  </si>
  <si>
    <t>①</t>
  </si>
  <si>
    <t>②</t>
  </si>
  <si>
    <t>下田坡道Ⅱ</t>
  </si>
  <si>
    <t>下田坡道Ⅲ</t>
  </si>
  <si>
    <t>下田坡道Ⅳ</t>
  </si>
  <si>
    <t>下田坡道Ⅴ</t>
  </si>
  <si>
    <t>下田坡道Ⅵ</t>
  </si>
  <si>
    <t>下田坡道Ⅶ</t>
  </si>
  <si>
    <t>下田坡道Ⅷ</t>
  </si>
  <si>
    <t>下田坡道Ⅸ</t>
  </si>
  <si>
    <t>下田坡道Ⅹ</t>
  </si>
  <si>
    <t>每座下田坡道工程量表</t>
  </si>
  <si>
    <t>跨渠道类型</t>
  </si>
  <si>
    <t>机耕引桥参数</t>
  </si>
  <si>
    <t>渠道宽</t>
  </si>
  <si>
    <t>桥板宽</t>
  </si>
  <si>
    <t>桥板长</t>
  </si>
  <si>
    <t>桥板厚</t>
  </si>
  <si>
    <t>现浇C25
砼桥板</t>
  </si>
  <si>
    <r>
      <rPr>
        <sz val="10"/>
        <color indexed="8"/>
        <rFont val="宋体"/>
        <charset val="134"/>
        <scheme val="minor"/>
      </rPr>
      <t>m</t>
    </r>
    <r>
      <rPr>
        <vertAlign val="superscript"/>
        <sz val="10"/>
        <color indexed="8"/>
        <rFont val="宋体"/>
        <charset val="134"/>
        <scheme val="minor"/>
      </rPr>
      <t>3</t>
    </r>
  </si>
  <si>
    <r>
      <rPr>
        <sz val="10"/>
        <color indexed="8"/>
        <rFont val="宋体"/>
        <charset val="134"/>
        <scheme val="minor"/>
      </rPr>
      <t>m</t>
    </r>
    <r>
      <rPr>
        <vertAlign val="superscript"/>
        <sz val="10"/>
        <color indexed="8"/>
        <rFont val="宋体"/>
        <charset val="134"/>
        <scheme val="minor"/>
      </rPr>
      <t>2</t>
    </r>
  </si>
  <si>
    <t>横梁单位工程量</t>
  </si>
  <si>
    <t>渠道内宽(m)</t>
  </si>
  <si>
    <t>①钢筋
φ10</t>
  </si>
  <si>
    <t>①数量</t>
  </si>
  <si>
    <t>②钢筋
φ8</t>
  </si>
  <si>
    <t>②数量</t>
  </si>
  <si>
    <t>（kg/m）</t>
  </si>
  <si>
    <r>
      <rPr>
        <sz val="10"/>
        <color rgb="FF000000"/>
        <rFont val="宋体"/>
        <charset val="134"/>
      </rPr>
      <t>m</t>
    </r>
    <r>
      <rPr>
        <vertAlign val="superscript"/>
        <sz val="10"/>
        <color rgb="FF000000"/>
        <rFont val="宋体"/>
        <charset val="134"/>
      </rPr>
      <t>3</t>
    </r>
  </si>
  <si>
    <t>每座人行盖板配筋表</t>
  </si>
  <si>
    <t>人行盖板Ⅰ</t>
  </si>
  <si>
    <t>人行盖板Ⅱ</t>
  </si>
  <si>
    <t>人行盖板Ⅲ</t>
  </si>
  <si>
    <t>人行盖板Ⅳ</t>
  </si>
  <si>
    <t>人行盖板Ⅴ</t>
  </si>
  <si>
    <t>人行盖板Ⅵ</t>
  </si>
  <si>
    <t>人行盖板Ⅶ</t>
  </si>
  <si>
    <t>每座人行盖板单位工程量</t>
  </si>
  <si>
    <t>板厚</t>
  </si>
  <si>
    <t>板宽</t>
  </si>
  <si>
    <t>板长</t>
  </si>
  <si>
    <t>钢筋制安</t>
  </si>
  <si>
    <t>（件）</t>
  </si>
  <si>
    <t>（m2）</t>
  </si>
  <si>
    <t>（t）</t>
  </si>
  <si>
    <t>（m3）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</si>
</sst>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  <numFmt numFmtId="178" formatCode="0.00_);[Red]\(0.00\)"/>
    <numFmt numFmtId="179" formatCode="0.000_ "/>
    <numFmt numFmtId="180" formatCode="0.0000_ "/>
    <numFmt numFmtId="181" formatCode="0.000_);[Red]\(0.000\)"/>
    <numFmt numFmtId="182" formatCode="0.0000_);[Red]\(0.0000\)"/>
    <numFmt numFmtId="183" formatCode="0_);[Red]\(0\)"/>
  </numFmts>
  <fonts count="62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sz val="10"/>
      <color theme="1"/>
      <name val="宋体"/>
      <charset val="134"/>
    </font>
    <font>
      <b/>
      <sz val="16"/>
      <color theme="1"/>
      <name val="宋体"/>
      <charset val="134"/>
    </font>
    <font>
      <sz val="9"/>
      <color theme="1"/>
      <name val="黑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黑体"/>
      <charset val="134"/>
    </font>
    <font>
      <sz val="9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6"/>
      <name val="宋体"/>
      <charset val="134"/>
    </font>
    <font>
      <sz val="12"/>
      <name val="Times New Roman"/>
      <charset val="134"/>
    </font>
    <font>
      <sz val="12"/>
      <name val="宋体"/>
      <charset val="134"/>
    </font>
    <font>
      <sz val="16"/>
      <color theme="1"/>
      <name val="黑体"/>
      <charset val="134"/>
    </font>
    <font>
      <sz val="9"/>
      <name val="Times New Roman"/>
      <charset val="0"/>
    </font>
    <font>
      <sz val="14"/>
      <color theme="1"/>
      <name val="黑体"/>
      <charset val="134"/>
    </font>
    <font>
      <sz val="10"/>
      <color theme="1"/>
      <name val="黑体"/>
      <charset val="134"/>
    </font>
    <font>
      <sz val="12"/>
      <color theme="1"/>
      <name val="黑体"/>
      <charset val="134"/>
    </font>
    <font>
      <sz val="9"/>
      <color theme="1"/>
      <name val="宋体"/>
      <charset val="134"/>
    </font>
    <font>
      <sz val="9"/>
      <color rgb="FF000000"/>
      <name val="黑体"/>
      <charset val="134"/>
    </font>
    <font>
      <sz val="8"/>
      <color theme="1"/>
      <name val="黑体"/>
      <charset val="134"/>
    </font>
    <font>
      <b/>
      <sz val="9"/>
      <color theme="1"/>
      <name val="黑体"/>
      <charset val="134"/>
    </font>
    <font>
      <sz val="9"/>
      <name val="黑体"/>
      <charset val="134"/>
    </font>
    <font>
      <sz val="20"/>
      <color theme="1"/>
      <name val="方正大标宋简体"/>
      <charset val="134"/>
    </font>
    <font>
      <sz val="26"/>
      <color theme="1"/>
      <name val="方正大标宋简体"/>
      <charset val="134"/>
    </font>
    <font>
      <sz val="24"/>
      <color theme="1"/>
      <name val="黑体"/>
      <charset val="134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0"/>
      <color rgb="FF000000"/>
      <name val="宋体"/>
      <charset val="134"/>
    </font>
    <font>
      <vertAlign val="superscript"/>
      <sz val="10"/>
      <color indexed="8"/>
      <name val="宋体"/>
      <charset val="134"/>
      <scheme val="minor"/>
    </font>
    <font>
      <vertAlign val="superscript"/>
      <sz val="10"/>
      <color indexed="8"/>
      <name val="宋体"/>
      <charset val="134"/>
    </font>
    <font>
      <b/>
      <sz val="16"/>
      <color indexed="8"/>
      <name val="宋体"/>
      <charset val="134"/>
    </font>
    <font>
      <vertAlign val="superscript"/>
      <sz val="10"/>
      <name val="宋体"/>
      <charset val="134"/>
      <scheme val="minor"/>
    </font>
    <font>
      <sz val="12"/>
      <name val="仿宋_GB2312"/>
      <charset val="134"/>
    </font>
    <font>
      <vertAlign val="superscript"/>
      <sz val="9"/>
      <color theme="1"/>
      <name val="黑体"/>
      <charset val="134"/>
    </font>
    <font>
      <vertAlign val="superscript"/>
      <sz val="10"/>
      <color theme="1"/>
      <name val="宋体"/>
      <charset val="134"/>
    </font>
    <font>
      <vertAlign val="superscript"/>
      <sz val="10"/>
      <color theme="1"/>
      <name val="宋体"/>
      <charset val="134"/>
      <scheme val="minor"/>
    </font>
    <font>
      <sz val="9"/>
      <name val="宋体"/>
      <charset val="134"/>
    </font>
  </fonts>
  <fills count="43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6"/>
        <bgColor indexed="64"/>
      </patternFill>
    </fill>
    <fill>
      <patternFill patternType="solid">
        <fgColor theme="2" tint="-0.2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12" borderId="50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51" applyNumberFormat="0" applyFill="0" applyAlignment="0" applyProtection="0">
      <alignment vertical="center"/>
    </xf>
    <xf numFmtId="0" fontId="39" fillId="0" borderId="51" applyNumberFormat="0" applyFill="0" applyAlignment="0" applyProtection="0">
      <alignment vertical="center"/>
    </xf>
    <xf numFmtId="0" fontId="40" fillId="0" borderId="52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13" borderId="53" applyNumberFormat="0" applyAlignment="0" applyProtection="0">
      <alignment vertical="center"/>
    </xf>
    <xf numFmtId="0" fontId="42" fillId="14" borderId="54" applyNumberFormat="0" applyAlignment="0" applyProtection="0">
      <alignment vertical="center"/>
    </xf>
    <xf numFmtId="0" fontId="43" fillId="14" borderId="53" applyNumberFormat="0" applyAlignment="0" applyProtection="0">
      <alignment vertical="center"/>
    </xf>
    <xf numFmtId="0" fontId="44" fillId="15" borderId="55" applyNumberFormat="0" applyAlignment="0" applyProtection="0">
      <alignment vertical="center"/>
    </xf>
    <xf numFmtId="0" fontId="45" fillId="0" borderId="56" applyNumberFormat="0" applyFill="0" applyAlignment="0" applyProtection="0">
      <alignment vertical="center"/>
    </xf>
    <xf numFmtId="0" fontId="46" fillId="0" borderId="57" applyNumberFormat="0" applyFill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51" fillId="37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0" fillId="42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49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76" fontId="2" fillId="0" borderId="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6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76" fontId="2" fillId="0" borderId="15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78" fontId="5" fillId="0" borderId="7" xfId="49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/>
    </xf>
    <xf numFmtId="179" fontId="2" fillId="0" borderId="17" xfId="0" applyNumberFormat="1" applyFont="1" applyFill="1" applyBorder="1" applyAlignment="1">
      <alignment horizontal="center" vertical="center" wrapText="1"/>
    </xf>
    <xf numFmtId="179" fontId="2" fillId="0" borderId="18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/>
    </xf>
    <xf numFmtId="179" fontId="2" fillId="0" borderId="1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176" fontId="2" fillId="0" borderId="21" xfId="0" applyNumberFormat="1" applyFont="1" applyFill="1" applyBorder="1" applyAlignment="1">
      <alignment horizontal="center" vertical="center" wrapText="1"/>
    </xf>
    <xf numFmtId="176" fontId="2" fillId="0" borderId="17" xfId="0" applyNumberFormat="1" applyFont="1" applyFill="1" applyBorder="1" applyAlignment="1">
      <alignment horizontal="center" vertical="center" wrapText="1"/>
    </xf>
    <xf numFmtId="176" fontId="2" fillId="0" borderId="22" xfId="0" applyNumberFormat="1" applyFont="1" applyFill="1" applyBorder="1" applyAlignment="1">
      <alignment horizontal="center" vertical="center" wrapText="1"/>
    </xf>
    <xf numFmtId="179" fontId="2" fillId="0" borderId="7" xfId="0" applyNumberFormat="1" applyFont="1" applyFill="1" applyBorder="1" applyAlignment="1">
      <alignment horizontal="center" vertical="center" wrapText="1"/>
    </xf>
    <xf numFmtId="180" fontId="2" fillId="0" borderId="7" xfId="0" applyNumberFormat="1" applyFont="1" applyFill="1" applyBorder="1" applyAlignment="1">
      <alignment horizontal="center" vertical="center" wrapText="1"/>
    </xf>
    <xf numFmtId="180" fontId="2" fillId="0" borderId="18" xfId="0" applyNumberFormat="1" applyFont="1" applyFill="1" applyBorder="1" applyAlignment="1">
      <alignment horizontal="center" vertical="center" wrapText="1"/>
    </xf>
    <xf numFmtId="179" fontId="2" fillId="0" borderId="9" xfId="0" applyNumberFormat="1" applyFont="1" applyFill="1" applyBorder="1" applyAlignment="1">
      <alignment horizontal="center" vertical="center" wrapText="1"/>
    </xf>
    <xf numFmtId="180" fontId="2" fillId="0" borderId="9" xfId="0" applyNumberFormat="1" applyFont="1" applyFill="1" applyBorder="1" applyAlignment="1">
      <alignment horizontal="center" vertical="center" wrapText="1"/>
    </xf>
    <xf numFmtId="180" fontId="2" fillId="0" borderId="19" xfId="0" applyNumberFormat="1" applyFont="1" applyFill="1" applyBorder="1" applyAlignment="1">
      <alignment horizontal="center" vertical="center" wrapText="1"/>
    </xf>
    <xf numFmtId="176" fontId="7" fillId="3" borderId="7" xfId="0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8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50" applyFont="1" applyFill="1" applyBorder="1" applyAlignment="1">
      <alignment horizontal="center" vertical="center"/>
    </xf>
    <xf numFmtId="0" fontId="10" fillId="0" borderId="1" xfId="50" applyFont="1" applyBorder="1" applyAlignment="1">
      <alignment horizontal="center" vertical="center"/>
    </xf>
    <xf numFmtId="0" fontId="10" fillId="0" borderId="10" xfId="50" applyFont="1" applyBorder="1" applyAlignment="1">
      <alignment horizontal="center" vertical="center"/>
    </xf>
    <xf numFmtId="0" fontId="10" fillId="0" borderId="10" xfId="50" applyFont="1" applyBorder="1" applyAlignment="1">
      <alignment horizontal="center" vertical="center" wrapText="1"/>
    </xf>
    <xf numFmtId="0" fontId="11" fillId="0" borderId="10" xfId="50" applyFont="1" applyBorder="1" applyAlignment="1">
      <alignment horizontal="center" vertical="center" wrapText="1"/>
    </xf>
    <xf numFmtId="181" fontId="11" fillId="0" borderId="10" xfId="50" applyNumberFormat="1" applyFont="1" applyBorder="1" applyAlignment="1">
      <alignment horizontal="center" vertical="center"/>
    </xf>
    <xf numFmtId="0" fontId="10" fillId="0" borderId="4" xfId="50" applyFont="1" applyBorder="1" applyAlignment="1">
      <alignment horizontal="center" vertical="center"/>
    </xf>
    <xf numFmtId="0" fontId="10" fillId="0" borderId="7" xfId="50" applyFont="1" applyBorder="1" applyAlignment="1">
      <alignment horizontal="center" vertical="center"/>
    </xf>
    <xf numFmtId="176" fontId="11" fillId="0" borderId="7" xfId="50" applyNumberFormat="1" applyFont="1" applyBorder="1" applyAlignment="1">
      <alignment horizontal="center" vertical="center" wrapText="1"/>
    </xf>
    <xf numFmtId="0" fontId="11" fillId="0" borderId="7" xfId="50" applyFont="1" applyBorder="1" applyAlignment="1">
      <alignment horizontal="center" vertical="center" wrapText="1"/>
    </xf>
    <xf numFmtId="181" fontId="11" fillId="0" borderId="7" xfId="50" applyNumberFormat="1" applyFont="1" applyBorder="1" applyAlignment="1">
      <alignment horizontal="center" vertical="center"/>
    </xf>
    <xf numFmtId="0" fontId="10" fillId="0" borderId="7" xfId="50" applyFont="1" applyBorder="1" applyAlignment="1">
      <alignment horizontal="center" vertical="center" wrapText="1"/>
    </xf>
    <xf numFmtId="178" fontId="10" fillId="0" borderId="7" xfId="50" applyNumberFormat="1" applyFont="1" applyBorder="1" applyAlignment="1">
      <alignment horizontal="center" vertical="center" wrapText="1"/>
    </xf>
    <xf numFmtId="181" fontId="10" fillId="0" borderId="7" xfId="50" applyNumberFormat="1" applyFont="1" applyBorder="1">
      <alignment vertical="center"/>
    </xf>
    <xf numFmtId="0" fontId="10" fillId="0" borderId="8" xfId="50" applyFont="1" applyBorder="1" applyAlignment="1">
      <alignment horizontal="center" vertical="center"/>
    </xf>
    <xf numFmtId="0" fontId="10" fillId="0" borderId="9" xfId="50" applyFont="1" applyBorder="1" applyAlignment="1">
      <alignment horizontal="center" vertical="center" wrapText="1"/>
    </xf>
    <xf numFmtId="178" fontId="10" fillId="0" borderId="9" xfId="50" applyNumberFormat="1" applyFont="1" applyBorder="1" applyAlignment="1">
      <alignment horizontal="center" vertical="center" wrapText="1"/>
    </xf>
    <xf numFmtId="181" fontId="10" fillId="0" borderId="9" xfId="50" applyNumberFormat="1" applyFont="1" applyBorder="1">
      <alignment vertical="center"/>
    </xf>
    <xf numFmtId="0" fontId="10" fillId="0" borderId="13" xfId="50" applyFont="1" applyBorder="1" applyAlignment="1">
      <alignment horizontal="center" vertical="center"/>
    </xf>
    <xf numFmtId="0" fontId="10" fillId="0" borderId="6" xfId="50" applyFont="1" applyBorder="1" applyAlignment="1">
      <alignment horizontal="center" vertical="center" wrapText="1"/>
    </xf>
    <xf numFmtId="178" fontId="10" fillId="0" borderId="6" xfId="50" applyNumberFormat="1" applyFont="1" applyBorder="1" applyAlignment="1">
      <alignment horizontal="center" vertical="center" wrapText="1"/>
    </xf>
    <xf numFmtId="0" fontId="11" fillId="0" borderId="6" xfId="50" applyFont="1" applyBorder="1" applyAlignment="1">
      <alignment horizontal="center" vertical="center" wrapText="1"/>
    </xf>
    <xf numFmtId="181" fontId="10" fillId="0" borderId="6" xfId="50" applyNumberFormat="1" applyFont="1" applyBorder="1">
      <alignment vertical="center"/>
    </xf>
    <xf numFmtId="0" fontId="12" fillId="0" borderId="1" xfId="51" applyFont="1" applyFill="1" applyBorder="1" applyAlignment="1">
      <alignment horizontal="center" vertical="center"/>
    </xf>
    <xf numFmtId="0" fontId="12" fillId="0" borderId="10" xfId="50" applyFont="1" applyFill="1" applyBorder="1" applyAlignment="1">
      <alignment horizontal="center" vertical="center"/>
    </xf>
    <xf numFmtId="0" fontId="12" fillId="0" borderId="4" xfId="51" applyFont="1" applyFill="1" applyBorder="1" applyAlignment="1">
      <alignment horizontal="center" vertical="center"/>
    </xf>
    <xf numFmtId="0" fontId="12" fillId="0" borderId="7" xfId="50" applyFont="1" applyFill="1" applyBorder="1" applyAlignment="1">
      <alignment horizontal="center" vertical="center"/>
    </xf>
    <xf numFmtId="0" fontId="13" fillId="0" borderId="7" xfId="50" applyFont="1" applyFill="1" applyBorder="1" applyAlignment="1">
      <alignment horizontal="center" vertical="center"/>
    </xf>
    <xf numFmtId="0" fontId="12" fillId="0" borderId="7" xfId="50" applyFont="1" applyFill="1" applyBorder="1" applyAlignment="1">
      <alignment horizontal="center" vertical="center" wrapText="1"/>
    </xf>
    <xf numFmtId="178" fontId="12" fillId="0" borderId="7" xfId="50" applyNumberFormat="1" applyFont="1" applyFill="1" applyBorder="1" applyAlignment="1">
      <alignment horizontal="center" vertical="center"/>
    </xf>
    <xf numFmtId="178" fontId="12" fillId="0" borderId="7" xfId="50" applyNumberFormat="1" applyFont="1" applyFill="1" applyBorder="1" applyAlignment="1">
      <alignment horizontal="center" vertical="center" wrapText="1"/>
    </xf>
    <xf numFmtId="0" fontId="12" fillId="0" borderId="8" xfId="51" applyFont="1" applyFill="1" applyBorder="1" applyAlignment="1">
      <alignment horizontal="center" vertical="center"/>
    </xf>
    <xf numFmtId="0" fontId="12" fillId="0" borderId="9" xfId="50" applyFont="1" applyFill="1" applyBorder="1" applyAlignment="1">
      <alignment horizontal="center" vertical="center"/>
    </xf>
    <xf numFmtId="178" fontId="12" fillId="0" borderId="9" xfId="50" applyNumberFormat="1" applyFont="1" applyFill="1" applyBorder="1" applyAlignment="1">
      <alignment horizontal="center" vertical="center"/>
    </xf>
    <xf numFmtId="178" fontId="12" fillId="0" borderId="9" xfId="50" applyNumberFormat="1" applyFont="1" applyFill="1" applyBorder="1" applyAlignment="1">
      <alignment horizontal="center" vertical="center" wrapText="1"/>
    </xf>
    <xf numFmtId="0" fontId="12" fillId="0" borderId="6" xfId="51" applyFont="1" applyFill="1" applyBorder="1" applyAlignment="1">
      <alignment horizontal="center" vertical="center"/>
    </xf>
    <xf numFmtId="0" fontId="12" fillId="0" borderId="6" xfId="50" applyFont="1" applyFill="1" applyBorder="1" applyAlignment="1">
      <alignment horizontal="center" vertical="center"/>
    </xf>
    <xf numFmtId="178" fontId="12" fillId="0" borderId="6" xfId="50" applyNumberFormat="1" applyFont="1" applyFill="1" applyBorder="1" applyAlignment="1">
      <alignment horizontal="center" vertical="center"/>
    </xf>
    <xf numFmtId="178" fontId="12" fillId="0" borderId="6" xfId="50" applyNumberFormat="1" applyFont="1" applyFill="1" applyBorder="1" applyAlignment="1">
      <alignment horizontal="center" vertical="center" wrapText="1"/>
    </xf>
    <xf numFmtId="0" fontId="12" fillId="0" borderId="7" xfId="51" applyFont="1" applyFill="1" applyBorder="1" applyAlignment="1">
      <alignment horizontal="center" vertical="center"/>
    </xf>
    <xf numFmtId="0" fontId="11" fillId="0" borderId="10" xfId="50" applyFont="1" applyBorder="1" applyAlignment="1">
      <alignment horizontal="center" vertical="center"/>
    </xf>
    <xf numFmtId="178" fontId="11" fillId="0" borderId="10" xfId="50" applyNumberFormat="1" applyFont="1" applyFill="1" applyBorder="1" applyAlignment="1">
      <alignment horizontal="center" vertical="center"/>
    </xf>
    <xf numFmtId="0" fontId="11" fillId="0" borderId="20" xfId="50" applyFont="1" applyFill="1" applyBorder="1" applyAlignment="1">
      <alignment horizontal="center" vertical="center"/>
    </xf>
    <xf numFmtId="0" fontId="0" fillId="0" borderId="0" xfId="49" applyFont="1" applyFill="1" applyAlignment="1">
      <alignment vertical="center"/>
    </xf>
    <xf numFmtId="0" fontId="11" fillId="0" borderId="7" xfId="50" applyFont="1" applyBorder="1" applyAlignment="1">
      <alignment horizontal="center" vertical="center"/>
    </xf>
    <xf numFmtId="178" fontId="11" fillId="0" borderId="7" xfId="50" applyNumberFormat="1" applyFont="1" applyFill="1" applyBorder="1" applyAlignment="1">
      <alignment horizontal="center" vertical="center"/>
    </xf>
    <xf numFmtId="0" fontId="10" fillId="0" borderId="18" xfId="50" applyFont="1" applyBorder="1" applyAlignment="1">
      <alignment horizontal="center" vertical="center"/>
    </xf>
    <xf numFmtId="0" fontId="5" fillId="0" borderId="0" xfId="49" applyFont="1" applyFill="1" applyAlignment="1">
      <alignment vertical="center"/>
    </xf>
    <xf numFmtId="178" fontId="10" fillId="0" borderId="7" xfId="50" applyNumberFormat="1" applyFont="1" applyBorder="1" applyAlignment="1">
      <alignment horizontal="center" vertical="center"/>
    </xf>
    <xf numFmtId="176" fontId="10" fillId="0" borderId="18" xfId="50" applyNumberFormat="1" applyFont="1" applyBorder="1" applyAlignment="1">
      <alignment horizontal="center" vertical="center"/>
    </xf>
    <xf numFmtId="179" fontId="10" fillId="0" borderId="7" xfId="50" applyNumberFormat="1" applyFont="1" applyBorder="1" applyAlignment="1">
      <alignment horizontal="center" vertical="center"/>
    </xf>
    <xf numFmtId="0" fontId="10" fillId="0" borderId="9" xfId="50" applyFont="1" applyBorder="1" applyAlignment="1">
      <alignment horizontal="center" vertical="center"/>
    </xf>
    <xf numFmtId="179" fontId="10" fillId="0" borderId="9" xfId="50" applyNumberFormat="1" applyFont="1" applyBorder="1" applyAlignment="1">
      <alignment horizontal="center" vertical="center"/>
    </xf>
    <xf numFmtId="178" fontId="10" fillId="0" borderId="9" xfId="50" applyNumberFormat="1" applyFont="1" applyBorder="1" applyAlignment="1">
      <alignment horizontal="center" vertical="center"/>
    </xf>
    <xf numFmtId="176" fontId="10" fillId="0" borderId="19" xfId="50" applyNumberFormat="1" applyFont="1" applyBorder="1" applyAlignment="1">
      <alignment horizontal="center" vertical="center"/>
    </xf>
    <xf numFmtId="0" fontId="10" fillId="0" borderId="6" xfId="50" applyFont="1" applyBorder="1" applyAlignment="1">
      <alignment horizontal="center" vertical="center"/>
    </xf>
    <xf numFmtId="178" fontId="10" fillId="0" borderId="6" xfId="50" applyNumberFormat="1" applyFont="1" applyBorder="1" applyAlignment="1">
      <alignment horizontal="center" vertical="center"/>
    </xf>
    <xf numFmtId="176" fontId="10" fillId="0" borderId="17" xfId="50" applyNumberFormat="1" applyFont="1" applyBorder="1" applyAlignment="1">
      <alignment horizontal="center" vertical="center"/>
    </xf>
    <xf numFmtId="0" fontId="12" fillId="0" borderId="20" xfId="50" applyFont="1" applyFill="1" applyBorder="1" applyAlignment="1">
      <alignment horizontal="center" vertical="center"/>
    </xf>
    <xf numFmtId="0" fontId="14" fillId="0" borderId="7" xfId="49" applyFont="1" applyFill="1" applyBorder="1" applyAlignment="1">
      <alignment horizontal="center" vertical="center"/>
    </xf>
    <xf numFmtId="181" fontId="12" fillId="0" borderId="7" xfId="50" applyNumberFormat="1" applyFont="1" applyFill="1" applyBorder="1" applyAlignment="1">
      <alignment horizontal="center" vertical="center"/>
    </xf>
    <xf numFmtId="0" fontId="12" fillId="0" borderId="18" xfId="50" applyFont="1" applyFill="1" applyBorder="1" applyAlignment="1">
      <alignment horizontal="center" vertical="center"/>
    </xf>
    <xf numFmtId="0" fontId="13" fillId="0" borderId="7" xfId="49" applyFont="1" applyFill="1" applyBorder="1" applyAlignment="1">
      <alignment horizontal="center" vertical="center"/>
    </xf>
    <xf numFmtId="182" fontId="12" fillId="0" borderId="7" xfId="50" applyNumberFormat="1" applyFont="1" applyFill="1" applyBorder="1" applyAlignment="1">
      <alignment horizontal="center" vertical="center"/>
    </xf>
    <xf numFmtId="181" fontId="12" fillId="0" borderId="7" xfId="51" applyNumberFormat="1" applyFont="1" applyFill="1" applyBorder="1" applyAlignment="1">
      <alignment horizontal="center" vertical="center"/>
    </xf>
    <xf numFmtId="183" fontId="12" fillId="0" borderId="18" xfId="50" applyNumberFormat="1" applyFont="1" applyFill="1" applyBorder="1" applyAlignment="1">
      <alignment horizontal="center" vertical="center"/>
    </xf>
    <xf numFmtId="182" fontId="12" fillId="0" borderId="9" xfId="50" applyNumberFormat="1" applyFont="1" applyFill="1" applyBorder="1" applyAlignment="1">
      <alignment horizontal="center" vertical="center"/>
    </xf>
    <xf numFmtId="181" fontId="12" fillId="0" borderId="9" xfId="51" applyNumberFormat="1" applyFont="1" applyFill="1" applyBorder="1" applyAlignment="1">
      <alignment horizontal="center" vertical="center"/>
    </xf>
    <xf numFmtId="183" fontId="12" fillId="0" borderId="19" xfId="50" applyNumberFormat="1" applyFont="1" applyFill="1" applyBorder="1" applyAlignment="1">
      <alignment horizontal="center" vertical="center"/>
    </xf>
    <xf numFmtId="182" fontId="12" fillId="0" borderId="6" xfId="50" applyNumberFormat="1" applyFont="1" applyFill="1" applyBorder="1" applyAlignment="1">
      <alignment horizontal="center" vertical="center"/>
    </xf>
    <xf numFmtId="181" fontId="12" fillId="0" borderId="6" xfId="51" applyNumberFormat="1" applyFont="1" applyFill="1" applyBorder="1" applyAlignment="1">
      <alignment horizontal="center" vertical="center"/>
    </xf>
    <xf numFmtId="183" fontId="12" fillId="0" borderId="6" xfId="50" applyNumberFormat="1" applyFont="1" applyFill="1" applyBorder="1" applyAlignment="1">
      <alignment horizontal="center" vertical="center"/>
    </xf>
    <xf numFmtId="183" fontId="12" fillId="0" borderId="7" xfId="50" applyNumberFormat="1" applyFont="1" applyFill="1" applyBorder="1" applyAlignment="1">
      <alignment horizontal="center" vertical="center"/>
    </xf>
    <xf numFmtId="0" fontId="15" fillId="0" borderId="7" xfId="50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0" fontId="1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12" fillId="0" borderId="1" xfId="50" applyNumberFormat="1" applyFont="1" applyFill="1" applyBorder="1" applyAlignment="1">
      <alignment horizontal="center" vertical="center" wrapText="1"/>
    </xf>
    <xf numFmtId="181" fontId="12" fillId="0" borderId="10" xfId="50" applyNumberFormat="1" applyFont="1" applyFill="1" applyBorder="1" applyAlignment="1">
      <alignment horizontal="center" vertical="center" wrapText="1"/>
    </xf>
    <xf numFmtId="176" fontId="12" fillId="0" borderId="10" xfId="50" applyNumberFormat="1" applyFont="1" applyFill="1" applyBorder="1" applyAlignment="1">
      <alignment horizontal="center" vertical="center" wrapText="1"/>
    </xf>
    <xf numFmtId="183" fontId="12" fillId="0" borderId="10" xfId="50" applyNumberFormat="1" applyFont="1" applyFill="1" applyBorder="1" applyAlignment="1">
      <alignment horizontal="center" vertical="center" wrapText="1"/>
    </xf>
    <xf numFmtId="178" fontId="12" fillId="0" borderId="10" xfId="50" applyNumberFormat="1" applyFont="1" applyFill="1" applyBorder="1" applyAlignment="1">
      <alignment horizontal="center" vertical="center" wrapText="1"/>
    </xf>
    <xf numFmtId="176" fontId="12" fillId="0" borderId="4" xfId="50" applyNumberFormat="1" applyFont="1" applyFill="1" applyBorder="1" applyAlignment="1">
      <alignment horizontal="center" vertical="center" wrapText="1"/>
    </xf>
    <xf numFmtId="181" fontId="12" fillId="0" borderId="7" xfId="50" applyNumberFormat="1" applyFont="1" applyFill="1" applyBorder="1" applyAlignment="1">
      <alignment horizontal="center" vertical="center" wrapText="1"/>
    </xf>
    <xf numFmtId="49" fontId="12" fillId="0" borderId="7" xfId="50" applyNumberFormat="1" applyFont="1" applyFill="1" applyBorder="1" applyAlignment="1">
      <alignment horizontal="center" vertical="center" wrapText="1"/>
    </xf>
    <xf numFmtId="0" fontId="12" fillId="0" borderId="7" xfId="49" applyFont="1" applyFill="1" applyBorder="1" applyAlignment="1">
      <alignment horizontal="center" vertical="center"/>
    </xf>
    <xf numFmtId="176" fontId="12" fillId="0" borderId="13" xfId="50" applyNumberFormat="1" applyFont="1" applyFill="1" applyBorder="1" applyAlignment="1">
      <alignment horizontal="center" vertical="center" wrapText="1"/>
    </xf>
    <xf numFmtId="183" fontId="12" fillId="0" borderId="7" xfId="50" applyNumberFormat="1" applyFont="1" applyFill="1" applyBorder="1" applyAlignment="1">
      <alignment horizontal="center" vertical="center" wrapText="1"/>
    </xf>
    <xf numFmtId="182" fontId="12" fillId="0" borderId="7" xfId="50" applyNumberFormat="1" applyFont="1" applyFill="1" applyBorder="1" applyAlignment="1">
      <alignment horizontal="center" vertical="center" wrapText="1"/>
    </xf>
    <xf numFmtId="0" fontId="12" fillId="0" borderId="4" xfId="50" applyFont="1" applyFill="1" applyBorder="1" applyAlignment="1">
      <alignment horizontal="center" vertical="center" wrapText="1"/>
    </xf>
    <xf numFmtId="0" fontId="12" fillId="0" borderId="8" xfId="50" applyFont="1" applyFill="1" applyBorder="1" applyAlignment="1">
      <alignment horizontal="center" vertical="center" wrapText="1"/>
    </xf>
    <xf numFmtId="183" fontId="12" fillId="0" borderId="9" xfId="50" applyNumberFormat="1" applyFont="1" applyFill="1" applyBorder="1" applyAlignment="1">
      <alignment horizontal="center" vertical="center" wrapText="1"/>
    </xf>
    <xf numFmtId="182" fontId="12" fillId="0" borderId="9" xfId="50" applyNumberFormat="1" applyFont="1" applyFill="1" applyBorder="1" applyAlignment="1">
      <alignment horizontal="center" vertical="center" wrapText="1"/>
    </xf>
    <xf numFmtId="176" fontId="17" fillId="0" borderId="23" xfId="50" applyNumberFormat="1" applyFont="1" applyFill="1" applyBorder="1" applyAlignment="1">
      <alignment horizontal="center" vertical="center" wrapText="1"/>
    </xf>
    <xf numFmtId="176" fontId="17" fillId="0" borderId="24" xfId="50" applyNumberFormat="1" applyFont="1" applyFill="1" applyBorder="1" applyAlignment="1">
      <alignment horizontal="center" vertical="center" wrapText="1"/>
    </xf>
    <xf numFmtId="176" fontId="17" fillId="0" borderId="25" xfId="50" applyNumberFormat="1" applyFont="1" applyFill="1" applyBorder="1" applyAlignment="1">
      <alignment horizontal="center" vertical="center" wrapText="1"/>
    </xf>
    <xf numFmtId="0" fontId="17" fillId="0" borderId="6" xfId="50" applyNumberFormat="1" applyFont="1" applyFill="1" applyBorder="1" applyAlignment="1">
      <alignment horizontal="center" vertical="center" wrapText="1"/>
    </xf>
    <xf numFmtId="182" fontId="17" fillId="0" borderId="6" xfId="50" applyNumberFormat="1" applyFont="1" applyFill="1" applyBorder="1" applyAlignment="1">
      <alignment horizontal="center" vertical="center" wrapText="1"/>
    </xf>
    <xf numFmtId="0" fontId="18" fillId="0" borderId="0" xfId="50" applyFont="1" applyAlignment="1">
      <alignment horizontal="center" vertical="center" wrapText="1"/>
    </xf>
    <xf numFmtId="181" fontId="18" fillId="0" borderId="0" xfId="50" applyNumberFormat="1" applyFont="1">
      <alignment vertical="center"/>
    </xf>
    <xf numFmtId="0" fontId="18" fillId="0" borderId="0" xfId="50" applyFont="1">
      <alignment vertical="center"/>
    </xf>
    <xf numFmtId="178" fontId="18" fillId="0" borderId="0" xfId="50" applyNumberFormat="1" applyFont="1">
      <alignment vertical="center"/>
    </xf>
    <xf numFmtId="176" fontId="17" fillId="0" borderId="7" xfId="50" applyNumberFormat="1" applyFont="1" applyFill="1" applyBorder="1" applyAlignment="1">
      <alignment horizontal="center" vertical="center" wrapText="1"/>
    </xf>
    <xf numFmtId="183" fontId="17" fillId="0" borderId="7" xfId="50" applyNumberFormat="1" applyFont="1" applyFill="1" applyBorder="1" applyAlignment="1">
      <alignment horizontal="center" vertical="center" wrapText="1"/>
    </xf>
    <xf numFmtId="178" fontId="17" fillId="0" borderId="7" xfId="50" applyNumberFormat="1" applyFont="1" applyFill="1" applyBorder="1" applyAlignment="1">
      <alignment horizontal="center" vertical="center" wrapText="1"/>
    </xf>
    <xf numFmtId="182" fontId="17" fillId="0" borderId="7" xfId="5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/>
    </xf>
    <xf numFmtId="0" fontId="10" fillId="0" borderId="1" xfId="49" applyFont="1" applyFill="1" applyBorder="1" applyAlignment="1">
      <alignment horizontal="center" vertical="center"/>
    </xf>
    <xf numFmtId="0" fontId="10" fillId="0" borderId="10" xfId="49" applyFont="1" applyFill="1" applyBorder="1" applyAlignment="1">
      <alignment horizontal="center" vertical="center"/>
    </xf>
    <xf numFmtId="182" fontId="10" fillId="0" borderId="20" xfId="49" applyNumberFormat="1" applyFont="1" applyFill="1" applyBorder="1" applyAlignment="1">
      <alignment horizontal="center" vertical="center"/>
    </xf>
    <xf numFmtId="0" fontId="2" fillId="0" borderId="4" xfId="49" applyFont="1" applyFill="1" applyBorder="1" applyAlignment="1">
      <alignment horizontal="center" vertical="center"/>
    </xf>
    <xf numFmtId="0" fontId="11" fillId="0" borderId="7" xfId="49" applyFont="1" applyFill="1" applyBorder="1" applyAlignment="1">
      <alignment horizontal="center" vertical="center"/>
    </xf>
    <xf numFmtId="182" fontId="2" fillId="0" borderId="18" xfId="49" applyNumberFormat="1" applyFont="1" applyFill="1" applyBorder="1" applyAlignment="1">
      <alignment horizontal="center" vertical="center"/>
    </xf>
    <xf numFmtId="0" fontId="2" fillId="0" borderId="8" xfId="49" applyFont="1" applyFill="1" applyBorder="1" applyAlignment="1">
      <alignment horizontal="center" vertical="center"/>
    </xf>
    <xf numFmtId="0" fontId="11" fillId="0" borderId="9" xfId="49" applyFont="1" applyFill="1" applyBorder="1" applyAlignment="1">
      <alignment horizontal="center" vertical="center"/>
    </xf>
    <xf numFmtId="182" fontId="2" fillId="0" borderId="19" xfId="49" applyNumberFormat="1" applyFont="1" applyFill="1" applyBorder="1" applyAlignment="1">
      <alignment horizontal="center" vertical="center"/>
    </xf>
    <xf numFmtId="0" fontId="14" fillId="0" borderId="0" xfId="0" applyFont="1">
      <alignment vertical="center"/>
    </xf>
    <xf numFmtId="176" fontId="12" fillId="0" borderId="20" xfId="50" applyNumberFormat="1" applyFont="1" applyFill="1" applyBorder="1" applyAlignment="1">
      <alignment horizontal="center" vertical="center" wrapText="1"/>
    </xf>
    <xf numFmtId="49" fontId="12" fillId="0" borderId="18" xfId="50" applyNumberFormat="1" applyFont="1" applyFill="1" applyBorder="1" applyAlignment="1">
      <alignment horizontal="center" vertical="center" wrapText="1"/>
    </xf>
    <xf numFmtId="0" fontId="12" fillId="0" borderId="18" xfId="50" applyNumberFormat="1" applyFont="1" applyFill="1" applyBorder="1" applyAlignment="1">
      <alignment horizontal="center" vertical="center" wrapText="1"/>
    </xf>
    <xf numFmtId="0" fontId="14" fillId="0" borderId="0" xfId="0" applyFont="1" applyFill="1">
      <alignment vertical="center"/>
    </xf>
    <xf numFmtId="0" fontId="12" fillId="0" borderId="19" xfId="50" applyNumberFormat="1" applyFont="1" applyFill="1" applyBorder="1" applyAlignment="1">
      <alignment horizontal="center" vertical="center" wrapText="1"/>
    </xf>
    <xf numFmtId="0" fontId="17" fillId="0" borderId="7" xfId="50" applyNumberFormat="1" applyFont="1" applyFill="1" applyBorder="1" applyAlignment="1">
      <alignment horizontal="center" vertical="center" wrapText="1"/>
    </xf>
    <xf numFmtId="0" fontId="2" fillId="0" borderId="9" xfId="49" applyFont="1" applyFill="1" applyBorder="1" applyAlignment="1">
      <alignment horizontal="center" vertical="center"/>
    </xf>
    <xf numFmtId="176" fontId="2" fillId="0" borderId="19" xfId="49" applyNumberFormat="1" applyFont="1" applyFill="1" applyBorder="1" applyAlignment="1">
      <alignment horizontal="center" vertical="center"/>
    </xf>
    <xf numFmtId="0" fontId="2" fillId="0" borderId="19" xfId="49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19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0" borderId="10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77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0" xfId="0" applyFont="1" applyBorder="1">
      <alignment vertical="center"/>
    </xf>
    <xf numFmtId="0" fontId="2" fillId="0" borderId="3" xfId="49" applyFont="1" applyFill="1" applyBorder="1" applyAlignment="1">
      <alignment horizontal="center" vertical="center" wrapText="1"/>
    </xf>
    <xf numFmtId="0" fontId="2" fillId="0" borderId="6" xfId="49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22" fillId="6" borderId="32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22" fillId="6" borderId="33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7" xfId="0" applyFont="1" applyFill="1" applyBorder="1">
      <alignment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8" fillId="6" borderId="0" xfId="0" applyFont="1" applyFill="1" applyBorder="1">
      <alignment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177" fontId="0" fillId="0" borderId="12" xfId="0" applyNumberFormat="1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177" fontId="0" fillId="0" borderId="31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177" fontId="0" fillId="0" borderId="6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9" fontId="24" fillId="0" borderId="7" xfId="0" applyNumberFormat="1" applyFont="1" applyFill="1" applyBorder="1" applyAlignment="1">
      <alignment horizontal="center" vertical="center" wrapText="1"/>
    </xf>
    <xf numFmtId="0" fontId="24" fillId="0" borderId="35" xfId="0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 wrapText="1"/>
    </xf>
    <xf numFmtId="0" fontId="2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24" fillId="0" borderId="0" xfId="0" applyFont="1" applyFill="1" applyAlignment="1">
      <alignment horizontal="center" vertical="center" wrapText="1"/>
    </xf>
    <xf numFmtId="179" fontId="8" fillId="0" borderId="0" xfId="0" applyNumberFormat="1" applyFont="1" applyFill="1">
      <alignment vertical="center"/>
    </xf>
    <xf numFmtId="0" fontId="21" fillId="0" borderId="0" xfId="0" applyFont="1" applyFill="1" applyAlignment="1">
      <alignment horizontal="center" vertical="center"/>
    </xf>
    <xf numFmtId="179" fontId="2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79" fontId="2" fillId="0" borderId="20" xfId="0" applyNumberFormat="1" applyFont="1" applyFill="1" applyBorder="1" applyAlignment="1">
      <alignment horizontal="center" vertical="center"/>
    </xf>
    <xf numFmtId="179" fontId="2" fillId="0" borderId="21" xfId="0" applyNumberFormat="1" applyFont="1" applyFill="1" applyBorder="1" applyAlignment="1">
      <alignment horizontal="center" vertical="center" wrapText="1"/>
    </xf>
    <xf numFmtId="179" fontId="2" fillId="0" borderId="17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179" fontId="2" fillId="0" borderId="18" xfId="0" applyNumberFormat="1" applyFont="1" applyFill="1" applyBorder="1" applyAlignment="1">
      <alignment horizontal="left" vertical="center" wrapText="1"/>
    </xf>
    <xf numFmtId="0" fontId="2" fillId="0" borderId="7" xfId="49" applyFont="1" applyFill="1" applyBorder="1" applyAlignment="1">
      <alignment horizontal="center" vertical="center"/>
    </xf>
    <xf numFmtId="182" fontId="2" fillId="0" borderId="7" xfId="49" applyNumberFormat="1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 wrapText="1"/>
    </xf>
    <xf numFmtId="182" fontId="2" fillId="0" borderId="9" xfId="49" applyNumberFormat="1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179" fontId="2" fillId="0" borderId="0" xfId="0" applyNumberFormat="1" applyFont="1" applyFill="1">
      <alignment vertical="center"/>
    </xf>
    <xf numFmtId="179" fontId="2" fillId="0" borderId="18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79" fontId="2" fillId="0" borderId="0" xfId="0" applyNumberFormat="1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179" fontId="2" fillId="0" borderId="19" xfId="0" applyNumberFormat="1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49" applyFont="1" applyFill="1" applyBorder="1" applyAlignment="1">
      <alignment horizontal="center" vertical="center"/>
    </xf>
    <xf numFmtId="182" fontId="2" fillId="0" borderId="12" xfId="49" applyNumberFormat="1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49" applyFont="1" applyFill="1" applyBorder="1" applyAlignment="1">
      <alignment horizontal="center" vertical="center"/>
    </xf>
    <xf numFmtId="0" fontId="11" fillId="0" borderId="0" xfId="49" applyFont="1" applyFill="1" applyBorder="1" applyAlignment="1">
      <alignment horizontal="center" vertical="center"/>
    </xf>
    <xf numFmtId="182" fontId="2" fillId="0" borderId="0" xfId="49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left" vertical="center" wrapText="1"/>
    </xf>
    <xf numFmtId="0" fontId="27" fillId="0" borderId="18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18" xfId="0" applyFont="1" applyFill="1" applyBorder="1" applyAlignment="1">
      <alignment horizontal="left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left" vertical="center" wrapText="1"/>
    </xf>
    <xf numFmtId="0" fontId="27" fillId="0" borderId="19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0" fontId="23" fillId="0" borderId="0" xfId="0" applyFont="1" applyFill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28" fillId="8" borderId="7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28" fillId="4" borderId="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28" fillId="9" borderId="7" xfId="0" applyFont="1" applyFill="1" applyBorder="1" applyAlignment="1">
      <alignment horizontal="center" vertical="center" wrapText="1"/>
    </xf>
    <xf numFmtId="0" fontId="4" fillId="9" borderId="18" xfId="0" applyFont="1" applyFill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 wrapText="1"/>
    </xf>
    <xf numFmtId="0" fontId="4" fillId="10" borderId="18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35" xfId="0" applyFont="1" applyFill="1" applyBorder="1" applyAlignment="1">
      <alignment horizontal="left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42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 wrapText="1"/>
    </xf>
    <xf numFmtId="0" fontId="4" fillId="0" borderId="0" xfId="0" applyFont="1" applyFill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22" fillId="0" borderId="27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left" vertical="center" wrapText="1"/>
    </xf>
    <xf numFmtId="0" fontId="22" fillId="2" borderId="18" xfId="0" applyFont="1" applyFill="1" applyBorder="1" applyAlignment="1">
      <alignment horizontal="left" vertical="center" wrapText="1"/>
    </xf>
    <xf numFmtId="0" fontId="22" fillId="4" borderId="5" xfId="0" applyFont="1" applyFill="1" applyBorder="1" applyAlignment="1">
      <alignment horizontal="left" vertical="center" wrapText="1"/>
    </xf>
    <xf numFmtId="0" fontId="22" fillId="4" borderId="18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left" vertical="center" wrapText="1"/>
    </xf>
    <xf numFmtId="176" fontId="8" fillId="0" borderId="0" xfId="0" applyNumberFormat="1" applyFont="1" applyFill="1">
      <alignment vertical="center"/>
    </xf>
    <xf numFmtId="0" fontId="4" fillId="11" borderId="1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/>
    </xf>
    <xf numFmtId="0" fontId="7" fillId="0" borderId="43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0" fillId="0" borderId="32" xfId="0" applyBorder="1">
      <alignment vertical="center"/>
    </xf>
    <xf numFmtId="0" fontId="21" fillId="0" borderId="44" xfId="0" applyFont="1" applyBorder="1" applyAlignment="1">
      <alignment horizontal="center" vertical="center"/>
    </xf>
    <xf numFmtId="0" fontId="0" fillId="0" borderId="44" xfId="0" applyBorder="1">
      <alignment vertical="center"/>
    </xf>
    <xf numFmtId="0" fontId="0" fillId="0" borderId="33" xfId="0" applyBorder="1">
      <alignment vertical="center"/>
    </xf>
    <xf numFmtId="0" fontId="31" fillId="0" borderId="0" xfId="0" applyFont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0" fillId="0" borderId="21" xfId="0" applyBorder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0" fillId="0" borderId="19" xfId="0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9" xfId="49"/>
    <cellStyle name="常规 6 2" xfId="50"/>
    <cellStyle name="常规 2 2 6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15</xdr:col>
      <xdr:colOff>152400</xdr:colOff>
      <xdr:row>6</xdr:row>
      <xdr:rowOff>104775</xdr:rowOff>
    </xdr:from>
    <xdr:to>
      <xdr:col>15</xdr:col>
      <xdr:colOff>704850</xdr:colOff>
      <xdr:row>6</xdr:row>
      <xdr:rowOff>104775</xdr:rowOff>
    </xdr:to>
    <xdr:sp>
      <xdr:nvSpPr>
        <xdr:cNvPr id="2" name="Line 17"/>
        <xdr:cNvSpPr>
          <a:spLocks noChangeShapeType="1"/>
        </xdr:cNvSpPr>
      </xdr:nvSpPr>
      <xdr:spPr>
        <a:xfrm>
          <a:off x="8315325" y="1581150"/>
          <a:ext cx="504825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152400</xdr:colOff>
      <xdr:row>7</xdr:row>
      <xdr:rowOff>85725</xdr:rowOff>
    </xdr:from>
    <xdr:to>
      <xdr:col>15</xdr:col>
      <xdr:colOff>704850</xdr:colOff>
      <xdr:row>7</xdr:row>
      <xdr:rowOff>85725</xdr:rowOff>
    </xdr:to>
    <xdr:sp>
      <xdr:nvSpPr>
        <xdr:cNvPr id="3" name="Line 17"/>
        <xdr:cNvSpPr>
          <a:spLocks noChangeShapeType="1"/>
        </xdr:cNvSpPr>
      </xdr:nvSpPr>
      <xdr:spPr>
        <a:xfrm>
          <a:off x="8315325" y="1816100"/>
          <a:ext cx="504825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152400</xdr:colOff>
      <xdr:row>12</xdr:row>
      <xdr:rowOff>104775</xdr:rowOff>
    </xdr:from>
    <xdr:to>
      <xdr:col>15</xdr:col>
      <xdr:colOff>704850</xdr:colOff>
      <xdr:row>12</xdr:row>
      <xdr:rowOff>104775</xdr:rowOff>
    </xdr:to>
    <xdr:sp>
      <xdr:nvSpPr>
        <xdr:cNvPr id="4" name="Line 17"/>
        <xdr:cNvSpPr>
          <a:spLocks noChangeShapeType="1"/>
        </xdr:cNvSpPr>
      </xdr:nvSpPr>
      <xdr:spPr>
        <a:xfrm>
          <a:off x="8315325" y="3105150"/>
          <a:ext cx="504825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152400</xdr:colOff>
      <xdr:row>13</xdr:row>
      <xdr:rowOff>85725</xdr:rowOff>
    </xdr:from>
    <xdr:to>
      <xdr:col>15</xdr:col>
      <xdr:colOff>704850</xdr:colOff>
      <xdr:row>13</xdr:row>
      <xdr:rowOff>85725</xdr:rowOff>
    </xdr:to>
    <xdr:sp>
      <xdr:nvSpPr>
        <xdr:cNvPr id="5" name="Line 17"/>
        <xdr:cNvSpPr>
          <a:spLocks noChangeShapeType="1"/>
        </xdr:cNvSpPr>
      </xdr:nvSpPr>
      <xdr:spPr>
        <a:xfrm>
          <a:off x="8315325" y="3340100"/>
          <a:ext cx="504825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163606</xdr:colOff>
      <xdr:row>16</xdr:row>
      <xdr:rowOff>127186</xdr:rowOff>
    </xdr:from>
    <xdr:to>
      <xdr:col>15</xdr:col>
      <xdr:colOff>716056</xdr:colOff>
      <xdr:row>16</xdr:row>
      <xdr:rowOff>127186</xdr:rowOff>
    </xdr:to>
    <xdr:sp>
      <xdr:nvSpPr>
        <xdr:cNvPr id="6" name="Line 17"/>
        <xdr:cNvSpPr>
          <a:spLocks noChangeShapeType="1"/>
        </xdr:cNvSpPr>
      </xdr:nvSpPr>
      <xdr:spPr>
        <a:xfrm>
          <a:off x="8326120" y="4143375"/>
          <a:ext cx="494030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163606</xdr:colOff>
      <xdr:row>17</xdr:row>
      <xdr:rowOff>108136</xdr:rowOff>
    </xdr:from>
    <xdr:to>
      <xdr:col>15</xdr:col>
      <xdr:colOff>716056</xdr:colOff>
      <xdr:row>17</xdr:row>
      <xdr:rowOff>108136</xdr:rowOff>
    </xdr:to>
    <xdr:sp>
      <xdr:nvSpPr>
        <xdr:cNvPr id="7" name="Line 17"/>
        <xdr:cNvSpPr>
          <a:spLocks noChangeShapeType="1"/>
        </xdr:cNvSpPr>
      </xdr:nvSpPr>
      <xdr:spPr>
        <a:xfrm>
          <a:off x="8326120" y="4378325"/>
          <a:ext cx="494030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152400</xdr:colOff>
      <xdr:row>14</xdr:row>
      <xdr:rowOff>104775</xdr:rowOff>
    </xdr:from>
    <xdr:to>
      <xdr:col>15</xdr:col>
      <xdr:colOff>704850</xdr:colOff>
      <xdr:row>14</xdr:row>
      <xdr:rowOff>104775</xdr:rowOff>
    </xdr:to>
    <xdr:sp>
      <xdr:nvSpPr>
        <xdr:cNvPr id="8" name="Line 17"/>
        <xdr:cNvSpPr>
          <a:spLocks noChangeShapeType="1"/>
        </xdr:cNvSpPr>
      </xdr:nvSpPr>
      <xdr:spPr>
        <a:xfrm>
          <a:off x="8315325" y="3613150"/>
          <a:ext cx="504825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152400</xdr:colOff>
      <xdr:row>15</xdr:row>
      <xdr:rowOff>85725</xdr:rowOff>
    </xdr:from>
    <xdr:to>
      <xdr:col>15</xdr:col>
      <xdr:colOff>704850</xdr:colOff>
      <xdr:row>15</xdr:row>
      <xdr:rowOff>85725</xdr:rowOff>
    </xdr:to>
    <xdr:sp>
      <xdr:nvSpPr>
        <xdr:cNvPr id="9" name="Line 17"/>
        <xdr:cNvSpPr>
          <a:spLocks noChangeShapeType="1"/>
        </xdr:cNvSpPr>
      </xdr:nvSpPr>
      <xdr:spPr>
        <a:xfrm>
          <a:off x="8315325" y="3848100"/>
          <a:ext cx="504825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152400</xdr:colOff>
      <xdr:row>4</xdr:row>
      <xdr:rowOff>104775</xdr:rowOff>
    </xdr:from>
    <xdr:to>
      <xdr:col>15</xdr:col>
      <xdr:colOff>704850</xdr:colOff>
      <xdr:row>4</xdr:row>
      <xdr:rowOff>104775</xdr:rowOff>
    </xdr:to>
    <xdr:sp>
      <xdr:nvSpPr>
        <xdr:cNvPr id="10" name="Line 17"/>
        <xdr:cNvSpPr>
          <a:spLocks noChangeShapeType="1"/>
        </xdr:cNvSpPr>
      </xdr:nvSpPr>
      <xdr:spPr>
        <a:xfrm>
          <a:off x="8315325" y="1073150"/>
          <a:ext cx="504825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152400</xdr:colOff>
      <xdr:row>5</xdr:row>
      <xdr:rowOff>85725</xdr:rowOff>
    </xdr:from>
    <xdr:to>
      <xdr:col>15</xdr:col>
      <xdr:colOff>704850</xdr:colOff>
      <xdr:row>5</xdr:row>
      <xdr:rowOff>85725</xdr:rowOff>
    </xdr:to>
    <xdr:sp>
      <xdr:nvSpPr>
        <xdr:cNvPr id="11" name="Line 17"/>
        <xdr:cNvSpPr>
          <a:spLocks noChangeShapeType="1"/>
        </xdr:cNvSpPr>
      </xdr:nvSpPr>
      <xdr:spPr>
        <a:xfrm>
          <a:off x="8315325" y="1308100"/>
          <a:ext cx="504825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163606</xdr:colOff>
      <xdr:row>18</xdr:row>
      <xdr:rowOff>104775</xdr:rowOff>
    </xdr:from>
    <xdr:to>
      <xdr:col>15</xdr:col>
      <xdr:colOff>716056</xdr:colOff>
      <xdr:row>18</xdr:row>
      <xdr:rowOff>104775</xdr:rowOff>
    </xdr:to>
    <xdr:sp>
      <xdr:nvSpPr>
        <xdr:cNvPr id="12" name="Line 17"/>
        <xdr:cNvSpPr>
          <a:spLocks noChangeShapeType="1"/>
        </xdr:cNvSpPr>
      </xdr:nvSpPr>
      <xdr:spPr>
        <a:xfrm>
          <a:off x="8326120" y="4629150"/>
          <a:ext cx="494030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163606</xdr:colOff>
      <xdr:row>19</xdr:row>
      <xdr:rowOff>113445</xdr:rowOff>
    </xdr:from>
    <xdr:to>
      <xdr:col>15</xdr:col>
      <xdr:colOff>716056</xdr:colOff>
      <xdr:row>19</xdr:row>
      <xdr:rowOff>113445</xdr:rowOff>
    </xdr:to>
    <xdr:sp>
      <xdr:nvSpPr>
        <xdr:cNvPr id="13" name="Line 17"/>
        <xdr:cNvSpPr>
          <a:spLocks noChangeShapeType="1"/>
        </xdr:cNvSpPr>
      </xdr:nvSpPr>
      <xdr:spPr>
        <a:xfrm>
          <a:off x="8326120" y="4891405"/>
          <a:ext cx="494030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111443</xdr:colOff>
      <xdr:row>4</xdr:row>
      <xdr:rowOff>35719</xdr:rowOff>
    </xdr:from>
    <xdr:to>
      <xdr:col>15</xdr:col>
      <xdr:colOff>157162</xdr:colOff>
      <xdr:row>4</xdr:row>
      <xdr:rowOff>104775</xdr:rowOff>
    </xdr:to>
    <xdr:sp>
      <xdr:nvSpPr>
        <xdr:cNvPr id="14" name="任意多边形 13"/>
        <xdr:cNvSpPr/>
      </xdr:nvSpPr>
      <xdr:spPr>
        <a:xfrm>
          <a:off x="8274050" y="1003935"/>
          <a:ext cx="4572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699612</xdr:colOff>
      <xdr:row>4</xdr:row>
      <xdr:rowOff>38100</xdr:rowOff>
    </xdr:from>
    <xdr:to>
      <xdr:col>15</xdr:col>
      <xdr:colOff>745331</xdr:colOff>
      <xdr:row>4</xdr:row>
      <xdr:rowOff>107156</xdr:rowOff>
    </xdr:to>
    <xdr:sp>
      <xdr:nvSpPr>
        <xdr:cNvPr id="15" name="任意多边形 14"/>
        <xdr:cNvSpPr/>
      </xdr:nvSpPr>
      <xdr:spPr>
        <a:xfrm flipH="1">
          <a:off x="8820150" y="1006475"/>
          <a:ext cx="0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109061</xdr:colOff>
      <xdr:row>5</xdr:row>
      <xdr:rowOff>16669</xdr:rowOff>
    </xdr:from>
    <xdr:to>
      <xdr:col>15</xdr:col>
      <xdr:colOff>154780</xdr:colOff>
      <xdr:row>5</xdr:row>
      <xdr:rowOff>85725</xdr:rowOff>
    </xdr:to>
    <xdr:sp>
      <xdr:nvSpPr>
        <xdr:cNvPr id="16" name="任意多边形 15"/>
        <xdr:cNvSpPr/>
      </xdr:nvSpPr>
      <xdr:spPr>
        <a:xfrm>
          <a:off x="8271510" y="1238885"/>
          <a:ext cx="4572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697230</xdr:colOff>
      <xdr:row>5</xdr:row>
      <xdr:rowOff>19050</xdr:rowOff>
    </xdr:from>
    <xdr:to>
      <xdr:col>15</xdr:col>
      <xdr:colOff>742949</xdr:colOff>
      <xdr:row>5</xdr:row>
      <xdr:rowOff>88106</xdr:rowOff>
    </xdr:to>
    <xdr:sp>
      <xdr:nvSpPr>
        <xdr:cNvPr id="17" name="任意多边形 16"/>
        <xdr:cNvSpPr/>
      </xdr:nvSpPr>
      <xdr:spPr>
        <a:xfrm flipH="1">
          <a:off x="8820150" y="1241425"/>
          <a:ext cx="0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113824</xdr:colOff>
      <xdr:row>6</xdr:row>
      <xdr:rowOff>35719</xdr:rowOff>
    </xdr:from>
    <xdr:to>
      <xdr:col>15</xdr:col>
      <xdr:colOff>159543</xdr:colOff>
      <xdr:row>6</xdr:row>
      <xdr:rowOff>104775</xdr:rowOff>
    </xdr:to>
    <xdr:sp>
      <xdr:nvSpPr>
        <xdr:cNvPr id="18" name="任意多边形 17"/>
        <xdr:cNvSpPr/>
      </xdr:nvSpPr>
      <xdr:spPr>
        <a:xfrm>
          <a:off x="8276590" y="1511935"/>
          <a:ext cx="4572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701993</xdr:colOff>
      <xdr:row>6</xdr:row>
      <xdr:rowOff>38100</xdr:rowOff>
    </xdr:from>
    <xdr:to>
      <xdr:col>15</xdr:col>
      <xdr:colOff>747712</xdr:colOff>
      <xdr:row>6</xdr:row>
      <xdr:rowOff>107156</xdr:rowOff>
    </xdr:to>
    <xdr:sp>
      <xdr:nvSpPr>
        <xdr:cNvPr id="19" name="任意多边形 18"/>
        <xdr:cNvSpPr/>
      </xdr:nvSpPr>
      <xdr:spPr>
        <a:xfrm flipH="1">
          <a:off x="8820150" y="1514475"/>
          <a:ext cx="0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113824</xdr:colOff>
      <xdr:row>7</xdr:row>
      <xdr:rowOff>19051</xdr:rowOff>
    </xdr:from>
    <xdr:to>
      <xdr:col>15</xdr:col>
      <xdr:colOff>159543</xdr:colOff>
      <xdr:row>7</xdr:row>
      <xdr:rowOff>88107</xdr:rowOff>
    </xdr:to>
    <xdr:sp>
      <xdr:nvSpPr>
        <xdr:cNvPr id="20" name="任意多边形 19"/>
        <xdr:cNvSpPr/>
      </xdr:nvSpPr>
      <xdr:spPr>
        <a:xfrm>
          <a:off x="8276590" y="1749425"/>
          <a:ext cx="45720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701993</xdr:colOff>
      <xdr:row>7</xdr:row>
      <xdr:rowOff>21432</xdr:rowOff>
    </xdr:from>
    <xdr:to>
      <xdr:col>15</xdr:col>
      <xdr:colOff>747712</xdr:colOff>
      <xdr:row>7</xdr:row>
      <xdr:rowOff>90488</xdr:rowOff>
    </xdr:to>
    <xdr:sp>
      <xdr:nvSpPr>
        <xdr:cNvPr id="21" name="任意多边形 20"/>
        <xdr:cNvSpPr/>
      </xdr:nvSpPr>
      <xdr:spPr>
        <a:xfrm flipH="1">
          <a:off x="8820150" y="1751330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111442</xdr:colOff>
      <xdr:row>12</xdr:row>
      <xdr:rowOff>35719</xdr:rowOff>
    </xdr:from>
    <xdr:to>
      <xdr:col>15</xdr:col>
      <xdr:colOff>157161</xdr:colOff>
      <xdr:row>12</xdr:row>
      <xdr:rowOff>104775</xdr:rowOff>
    </xdr:to>
    <xdr:sp>
      <xdr:nvSpPr>
        <xdr:cNvPr id="22" name="任意多边形 21"/>
        <xdr:cNvSpPr/>
      </xdr:nvSpPr>
      <xdr:spPr>
        <a:xfrm>
          <a:off x="8274050" y="3035935"/>
          <a:ext cx="4572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699611</xdr:colOff>
      <xdr:row>12</xdr:row>
      <xdr:rowOff>38100</xdr:rowOff>
    </xdr:from>
    <xdr:to>
      <xdr:col>15</xdr:col>
      <xdr:colOff>745330</xdr:colOff>
      <xdr:row>12</xdr:row>
      <xdr:rowOff>107156</xdr:rowOff>
    </xdr:to>
    <xdr:sp>
      <xdr:nvSpPr>
        <xdr:cNvPr id="23" name="任意多边形 22"/>
        <xdr:cNvSpPr/>
      </xdr:nvSpPr>
      <xdr:spPr>
        <a:xfrm flipH="1">
          <a:off x="8820150" y="3038475"/>
          <a:ext cx="0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113824</xdr:colOff>
      <xdr:row>13</xdr:row>
      <xdr:rowOff>14288</xdr:rowOff>
    </xdr:from>
    <xdr:to>
      <xdr:col>15</xdr:col>
      <xdr:colOff>159543</xdr:colOff>
      <xdr:row>13</xdr:row>
      <xdr:rowOff>83344</xdr:rowOff>
    </xdr:to>
    <xdr:sp>
      <xdr:nvSpPr>
        <xdr:cNvPr id="24" name="任意多边形 23"/>
        <xdr:cNvSpPr/>
      </xdr:nvSpPr>
      <xdr:spPr>
        <a:xfrm>
          <a:off x="8276590" y="3268345"/>
          <a:ext cx="4572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701993</xdr:colOff>
      <xdr:row>13</xdr:row>
      <xdr:rowOff>16669</xdr:rowOff>
    </xdr:from>
    <xdr:to>
      <xdr:col>15</xdr:col>
      <xdr:colOff>747712</xdr:colOff>
      <xdr:row>13</xdr:row>
      <xdr:rowOff>85725</xdr:rowOff>
    </xdr:to>
    <xdr:sp>
      <xdr:nvSpPr>
        <xdr:cNvPr id="25" name="任意多边形 24"/>
        <xdr:cNvSpPr/>
      </xdr:nvSpPr>
      <xdr:spPr>
        <a:xfrm flipH="1">
          <a:off x="8820150" y="3270885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109061</xdr:colOff>
      <xdr:row>14</xdr:row>
      <xdr:rowOff>33338</xdr:rowOff>
    </xdr:from>
    <xdr:to>
      <xdr:col>15</xdr:col>
      <xdr:colOff>154780</xdr:colOff>
      <xdr:row>14</xdr:row>
      <xdr:rowOff>102394</xdr:rowOff>
    </xdr:to>
    <xdr:sp>
      <xdr:nvSpPr>
        <xdr:cNvPr id="26" name="任意多边形 25"/>
        <xdr:cNvSpPr/>
      </xdr:nvSpPr>
      <xdr:spPr>
        <a:xfrm>
          <a:off x="8271510" y="3541395"/>
          <a:ext cx="4572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697230</xdr:colOff>
      <xdr:row>14</xdr:row>
      <xdr:rowOff>35719</xdr:rowOff>
    </xdr:from>
    <xdr:to>
      <xdr:col>15</xdr:col>
      <xdr:colOff>742949</xdr:colOff>
      <xdr:row>14</xdr:row>
      <xdr:rowOff>104775</xdr:rowOff>
    </xdr:to>
    <xdr:sp>
      <xdr:nvSpPr>
        <xdr:cNvPr id="27" name="任意多边形 26"/>
        <xdr:cNvSpPr/>
      </xdr:nvSpPr>
      <xdr:spPr>
        <a:xfrm flipH="1">
          <a:off x="8820150" y="3543935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106679</xdr:colOff>
      <xdr:row>15</xdr:row>
      <xdr:rowOff>16669</xdr:rowOff>
    </xdr:from>
    <xdr:to>
      <xdr:col>15</xdr:col>
      <xdr:colOff>152398</xdr:colOff>
      <xdr:row>15</xdr:row>
      <xdr:rowOff>85725</xdr:rowOff>
    </xdr:to>
    <xdr:sp>
      <xdr:nvSpPr>
        <xdr:cNvPr id="28" name="任意多边形 27"/>
        <xdr:cNvSpPr/>
      </xdr:nvSpPr>
      <xdr:spPr>
        <a:xfrm>
          <a:off x="8268970" y="3778885"/>
          <a:ext cx="4572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694848</xdr:colOff>
      <xdr:row>15</xdr:row>
      <xdr:rowOff>19050</xdr:rowOff>
    </xdr:from>
    <xdr:to>
      <xdr:col>15</xdr:col>
      <xdr:colOff>740567</xdr:colOff>
      <xdr:row>15</xdr:row>
      <xdr:rowOff>88106</xdr:rowOff>
    </xdr:to>
    <xdr:sp>
      <xdr:nvSpPr>
        <xdr:cNvPr id="29" name="任意多边形 28"/>
        <xdr:cNvSpPr/>
      </xdr:nvSpPr>
      <xdr:spPr>
        <a:xfrm flipH="1">
          <a:off x="8820150" y="3781425"/>
          <a:ext cx="0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125729</xdr:colOff>
      <xdr:row>16</xdr:row>
      <xdr:rowOff>57150</xdr:rowOff>
    </xdr:from>
    <xdr:to>
      <xdr:col>15</xdr:col>
      <xdr:colOff>171448</xdr:colOff>
      <xdr:row>16</xdr:row>
      <xdr:rowOff>126206</xdr:rowOff>
    </xdr:to>
    <xdr:sp>
      <xdr:nvSpPr>
        <xdr:cNvPr id="30" name="任意多边形 29"/>
        <xdr:cNvSpPr/>
      </xdr:nvSpPr>
      <xdr:spPr>
        <a:xfrm>
          <a:off x="8288020" y="4073525"/>
          <a:ext cx="45720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713898</xdr:colOff>
      <xdr:row>16</xdr:row>
      <xdr:rowOff>59531</xdr:rowOff>
    </xdr:from>
    <xdr:to>
      <xdr:col>15</xdr:col>
      <xdr:colOff>754380</xdr:colOff>
      <xdr:row>16</xdr:row>
      <xdr:rowOff>128587</xdr:rowOff>
    </xdr:to>
    <xdr:sp>
      <xdr:nvSpPr>
        <xdr:cNvPr id="31" name="任意多边形 30"/>
        <xdr:cNvSpPr/>
      </xdr:nvSpPr>
      <xdr:spPr>
        <a:xfrm flipH="1">
          <a:off x="8820150" y="4075430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123348</xdr:colOff>
      <xdr:row>17</xdr:row>
      <xdr:rowOff>38100</xdr:rowOff>
    </xdr:from>
    <xdr:to>
      <xdr:col>15</xdr:col>
      <xdr:colOff>169067</xdr:colOff>
      <xdr:row>17</xdr:row>
      <xdr:rowOff>107156</xdr:rowOff>
    </xdr:to>
    <xdr:sp>
      <xdr:nvSpPr>
        <xdr:cNvPr id="32" name="任意多边形 31"/>
        <xdr:cNvSpPr/>
      </xdr:nvSpPr>
      <xdr:spPr>
        <a:xfrm>
          <a:off x="8286115" y="4308475"/>
          <a:ext cx="45720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711517</xdr:colOff>
      <xdr:row>17</xdr:row>
      <xdr:rowOff>40481</xdr:rowOff>
    </xdr:from>
    <xdr:to>
      <xdr:col>15</xdr:col>
      <xdr:colOff>754380</xdr:colOff>
      <xdr:row>17</xdr:row>
      <xdr:rowOff>109537</xdr:rowOff>
    </xdr:to>
    <xdr:sp>
      <xdr:nvSpPr>
        <xdr:cNvPr id="33" name="任意多边形 32"/>
        <xdr:cNvSpPr/>
      </xdr:nvSpPr>
      <xdr:spPr>
        <a:xfrm flipH="1">
          <a:off x="8820150" y="4310380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120966</xdr:colOff>
      <xdr:row>18</xdr:row>
      <xdr:rowOff>35718</xdr:rowOff>
    </xdr:from>
    <xdr:to>
      <xdr:col>15</xdr:col>
      <xdr:colOff>166685</xdr:colOff>
      <xdr:row>18</xdr:row>
      <xdr:rowOff>104774</xdr:rowOff>
    </xdr:to>
    <xdr:sp>
      <xdr:nvSpPr>
        <xdr:cNvPr id="34" name="任意多边形 33"/>
        <xdr:cNvSpPr/>
      </xdr:nvSpPr>
      <xdr:spPr>
        <a:xfrm>
          <a:off x="8283575" y="4559935"/>
          <a:ext cx="45720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709135</xdr:colOff>
      <xdr:row>18</xdr:row>
      <xdr:rowOff>38099</xdr:rowOff>
    </xdr:from>
    <xdr:to>
      <xdr:col>15</xdr:col>
      <xdr:colOff>754380</xdr:colOff>
      <xdr:row>18</xdr:row>
      <xdr:rowOff>107155</xdr:rowOff>
    </xdr:to>
    <xdr:sp>
      <xdr:nvSpPr>
        <xdr:cNvPr id="35" name="任意多边形 34"/>
        <xdr:cNvSpPr/>
      </xdr:nvSpPr>
      <xdr:spPr>
        <a:xfrm flipH="1">
          <a:off x="8820150" y="4561840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123348</xdr:colOff>
      <xdr:row>19</xdr:row>
      <xdr:rowOff>44868</xdr:rowOff>
    </xdr:from>
    <xdr:to>
      <xdr:col>15</xdr:col>
      <xdr:colOff>169067</xdr:colOff>
      <xdr:row>19</xdr:row>
      <xdr:rowOff>114425</xdr:rowOff>
    </xdr:to>
    <xdr:sp>
      <xdr:nvSpPr>
        <xdr:cNvPr id="36" name="任意多边形 35"/>
        <xdr:cNvSpPr/>
      </xdr:nvSpPr>
      <xdr:spPr>
        <a:xfrm>
          <a:off x="8286115" y="4822825"/>
          <a:ext cx="45720" cy="6985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711517</xdr:colOff>
      <xdr:row>19</xdr:row>
      <xdr:rowOff>47249</xdr:rowOff>
    </xdr:from>
    <xdr:to>
      <xdr:col>15</xdr:col>
      <xdr:colOff>754380</xdr:colOff>
      <xdr:row>19</xdr:row>
      <xdr:rowOff>116806</xdr:rowOff>
    </xdr:to>
    <xdr:sp>
      <xdr:nvSpPr>
        <xdr:cNvPr id="37" name="任意多边形 36"/>
        <xdr:cNvSpPr/>
      </xdr:nvSpPr>
      <xdr:spPr>
        <a:xfrm flipH="1">
          <a:off x="8820150" y="4825365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155258</xdr:colOff>
      <xdr:row>8</xdr:row>
      <xdr:rowOff>128587</xdr:rowOff>
    </xdr:from>
    <xdr:to>
      <xdr:col>15</xdr:col>
      <xdr:colOff>707708</xdr:colOff>
      <xdr:row>8</xdr:row>
      <xdr:rowOff>128587</xdr:rowOff>
    </xdr:to>
    <xdr:sp>
      <xdr:nvSpPr>
        <xdr:cNvPr id="38" name="Line 17"/>
        <xdr:cNvSpPr>
          <a:spLocks noChangeShapeType="1"/>
        </xdr:cNvSpPr>
      </xdr:nvSpPr>
      <xdr:spPr>
        <a:xfrm>
          <a:off x="8317865" y="2112645"/>
          <a:ext cx="502285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114300</xdr:colOff>
      <xdr:row>8</xdr:row>
      <xdr:rowOff>57150</xdr:rowOff>
    </xdr:from>
    <xdr:to>
      <xdr:col>15</xdr:col>
      <xdr:colOff>160019</xdr:colOff>
      <xdr:row>8</xdr:row>
      <xdr:rowOff>126206</xdr:rowOff>
    </xdr:to>
    <xdr:sp>
      <xdr:nvSpPr>
        <xdr:cNvPr id="39" name="任意多边形 38"/>
        <xdr:cNvSpPr/>
      </xdr:nvSpPr>
      <xdr:spPr>
        <a:xfrm>
          <a:off x="8277225" y="2041525"/>
          <a:ext cx="45085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702469</xdr:colOff>
      <xdr:row>8</xdr:row>
      <xdr:rowOff>59531</xdr:rowOff>
    </xdr:from>
    <xdr:to>
      <xdr:col>15</xdr:col>
      <xdr:colOff>748188</xdr:colOff>
      <xdr:row>8</xdr:row>
      <xdr:rowOff>128587</xdr:rowOff>
    </xdr:to>
    <xdr:sp>
      <xdr:nvSpPr>
        <xdr:cNvPr id="40" name="任意多边形 39"/>
        <xdr:cNvSpPr/>
      </xdr:nvSpPr>
      <xdr:spPr>
        <a:xfrm flipH="1">
          <a:off x="8820150" y="2043430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145733</xdr:colOff>
      <xdr:row>9</xdr:row>
      <xdr:rowOff>109537</xdr:rowOff>
    </xdr:from>
    <xdr:to>
      <xdr:col>15</xdr:col>
      <xdr:colOff>698183</xdr:colOff>
      <xdr:row>9</xdr:row>
      <xdr:rowOff>109537</xdr:rowOff>
    </xdr:to>
    <xdr:sp>
      <xdr:nvSpPr>
        <xdr:cNvPr id="41" name="Line 17"/>
        <xdr:cNvSpPr>
          <a:spLocks noChangeShapeType="1"/>
        </xdr:cNvSpPr>
      </xdr:nvSpPr>
      <xdr:spPr>
        <a:xfrm>
          <a:off x="8308340" y="2347595"/>
          <a:ext cx="511810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104775</xdr:colOff>
      <xdr:row>9</xdr:row>
      <xdr:rowOff>38100</xdr:rowOff>
    </xdr:from>
    <xdr:to>
      <xdr:col>15</xdr:col>
      <xdr:colOff>150494</xdr:colOff>
      <xdr:row>9</xdr:row>
      <xdr:rowOff>107156</xdr:rowOff>
    </xdr:to>
    <xdr:sp>
      <xdr:nvSpPr>
        <xdr:cNvPr id="42" name="任意多边形 41"/>
        <xdr:cNvSpPr/>
      </xdr:nvSpPr>
      <xdr:spPr>
        <a:xfrm>
          <a:off x="8267700" y="2276475"/>
          <a:ext cx="45085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692944</xdr:colOff>
      <xdr:row>9</xdr:row>
      <xdr:rowOff>40481</xdr:rowOff>
    </xdr:from>
    <xdr:to>
      <xdr:col>15</xdr:col>
      <xdr:colOff>738663</xdr:colOff>
      <xdr:row>9</xdr:row>
      <xdr:rowOff>109537</xdr:rowOff>
    </xdr:to>
    <xdr:sp>
      <xdr:nvSpPr>
        <xdr:cNvPr id="43" name="任意多边形 42"/>
        <xdr:cNvSpPr/>
      </xdr:nvSpPr>
      <xdr:spPr>
        <a:xfrm flipH="1">
          <a:off x="8820150" y="2278380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145733</xdr:colOff>
      <xdr:row>10</xdr:row>
      <xdr:rowOff>109537</xdr:rowOff>
    </xdr:from>
    <xdr:to>
      <xdr:col>15</xdr:col>
      <xdr:colOff>698183</xdr:colOff>
      <xdr:row>10</xdr:row>
      <xdr:rowOff>109537</xdr:rowOff>
    </xdr:to>
    <xdr:sp>
      <xdr:nvSpPr>
        <xdr:cNvPr id="44" name="Line 17"/>
        <xdr:cNvSpPr>
          <a:spLocks noChangeShapeType="1"/>
        </xdr:cNvSpPr>
      </xdr:nvSpPr>
      <xdr:spPr>
        <a:xfrm>
          <a:off x="8308340" y="2601595"/>
          <a:ext cx="511810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104775</xdr:colOff>
      <xdr:row>10</xdr:row>
      <xdr:rowOff>38100</xdr:rowOff>
    </xdr:from>
    <xdr:to>
      <xdr:col>15</xdr:col>
      <xdr:colOff>150494</xdr:colOff>
      <xdr:row>10</xdr:row>
      <xdr:rowOff>107156</xdr:rowOff>
    </xdr:to>
    <xdr:sp>
      <xdr:nvSpPr>
        <xdr:cNvPr id="45" name="任意多边形 44"/>
        <xdr:cNvSpPr/>
      </xdr:nvSpPr>
      <xdr:spPr>
        <a:xfrm>
          <a:off x="8267700" y="2530475"/>
          <a:ext cx="45085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692944</xdr:colOff>
      <xdr:row>10</xdr:row>
      <xdr:rowOff>40481</xdr:rowOff>
    </xdr:from>
    <xdr:to>
      <xdr:col>15</xdr:col>
      <xdr:colOff>738663</xdr:colOff>
      <xdr:row>10</xdr:row>
      <xdr:rowOff>109537</xdr:rowOff>
    </xdr:to>
    <xdr:sp>
      <xdr:nvSpPr>
        <xdr:cNvPr id="46" name="任意多边形 45"/>
        <xdr:cNvSpPr/>
      </xdr:nvSpPr>
      <xdr:spPr>
        <a:xfrm flipH="1">
          <a:off x="8820150" y="2532380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145733</xdr:colOff>
      <xdr:row>11</xdr:row>
      <xdr:rowOff>128587</xdr:rowOff>
    </xdr:from>
    <xdr:to>
      <xdr:col>15</xdr:col>
      <xdr:colOff>698183</xdr:colOff>
      <xdr:row>11</xdr:row>
      <xdr:rowOff>128587</xdr:rowOff>
    </xdr:to>
    <xdr:sp>
      <xdr:nvSpPr>
        <xdr:cNvPr id="47" name="Line 17"/>
        <xdr:cNvSpPr>
          <a:spLocks noChangeShapeType="1"/>
        </xdr:cNvSpPr>
      </xdr:nvSpPr>
      <xdr:spPr>
        <a:xfrm>
          <a:off x="8308340" y="2874645"/>
          <a:ext cx="511810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104775</xdr:colOff>
      <xdr:row>11</xdr:row>
      <xdr:rowOff>57150</xdr:rowOff>
    </xdr:from>
    <xdr:to>
      <xdr:col>15</xdr:col>
      <xdr:colOff>150494</xdr:colOff>
      <xdr:row>11</xdr:row>
      <xdr:rowOff>126206</xdr:rowOff>
    </xdr:to>
    <xdr:sp>
      <xdr:nvSpPr>
        <xdr:cNvPr id="48" name="任意多边形 47"/>
        <xdr:cNvSpPr/>
      </xdr:nvSpPr>
      <xdr:spPr>
        <a:xfrm>
          <a:off x="8267700" y="2803525"/>
          <a:ext cx="45085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692944</xdr:colOff>
      <xdr:row>11</xdr:row>
      <xdr:rowOff>59531</xdr:rowOff>
    </xdr:from>
    <xdr:to>
      <xdr:col>15</xdr:col>
      <xdr:colOff>738663</xdr:colOff>
      <xdr:row>11</xdr:row>
      <xdr:rowOff>128587</xdr:rowOff>
    </xdr:to>
    <xdr:sp>
      <xdr:nvSpPr>
        <xdr:cNvPr id="49" name="任意多边形 48"/>
        <xdr:cNvSpPr/>
      </xdr:nvSpPr>
      <xdr:spPr>
        <a:xfrm flipH="1">
          <a:off x="8820150" y="2805430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163606</xdr:colOff>
      <xdr:row>22</xdr:row>
      <xdr:rowOff>104775</xdr:rowOff>
    </xdr:from>
    <xdr:to>
      <xdr:col>15</xdr:col>
      <xdr:colOff>716056</xdr:colOff>
      <xdr:row>22</xdr:row>
      <xdr:rowOff>104775</xdr:rowOff>
    </xdr:to>
    <xdr:sp>
      <xdr:nvSpPr>
        <xdr:cNvPr id="50" name="Line 17"/>
        <xdr:cNvSpPr>
          <a:spLocks noChangeShapeType="1"/>
        </xdr:cNvSpPr>
      </xdr:nvSpPr>
      <xdr:spPr>
        <a:xfrm>
          <a:off x="8326120" y="5645150"/>
          <a:ext cx="494030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163606</xdr:colOff>
      <xdr:row>23</xdr:row>
      <xdr:rowOff>113445</xdr:rowOff>
    </xdr:from>
    <xdr:to>
      <xdr:col>15</xdr:col>
      <xdr:colOff>716056</xdr:colOff>
      <xdr:row>23</xdr:row>
      <xdr:rowOff>113445</xdr:rowOff>
    </xdr:to>
    <xdr:sp>
      <xdr:nvSpPr>
        <xdr:cNvPr id="51" name="Line 17"/>
        <xdr:cNvSpPr>
          <a:spLocks noChangeShapeType="1"/>
        </xdr:cNvSpPr>
      </xdr:nvSpPr>
      <xdr:spPr>
        <a:xfrm>
          <a:off x="8326120" y="5907405"/>
          <a:ext cx="494030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120966</xdr:colOff>
      <xdr:row>22</xdr:row>
      <xdr:rowOff>35718</xdr:rowOff>
    </xdr:from>
    <xdr:to>
      <xdr:col>15</xdr:col>
      <xdr:colOff>166685</xdr:colOff>
      <xdr:row>22</xdr:row>
      <xdr:rowOff>104774</xdr:rowOff>
    </xdr:to>
    <xdr:sp>
      <xdr:nvSpPr>
        <xdr:cNvPr id="52" name="任意多边形 51"/>
        <xdr:cNvSpPr/>
      </xdr:nvSpPr>
      <xdr:spPr>
        <a:xfrm>
          <a:off x="8283575" y="5575935"/>
          <a:ext cx="45720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709135</xdr:colOff>
      <xdr:row>22</xdr:row>
      <xdr:rowOff>38099</xdr:rowOff>
    </xdr:from>
    <xdr:to>
      <xdr:col>15</xdr:col>
      <xdr:colOff>754380</xdr:colOff>
      <xdr:row>22</xdr:row>
      <xdr:rowOff>107155</xdr:rowOff>
    </xdr:to>
    <xdr:sp>
      <xdr:nvSpPr>
        <xdr:cNvPr id="53" name="任意多边形 52"/>
        <xdr:cNvSpPr/>
      </xdr:nvSpPr>
      <xdr:spPr>
        <a:xfrm flipH="1">
          <a:off x="8820150" y="5577840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123348</xdr:colOff>
      <xdr:row>23</xdr:row>
      <xdr:rowOff>44868</xdr:rowOff>
    </xdr:from>
    <xdr:to>
      <xdr:col>15</xdr:col>
      <xdr:colOff>169067</xdr:colOff>
      <xdr:row>23</xdr:row>
      <xdr:rowOff>114425</xdr:rowOff>
    </xdr:to>
    <xdr:sp>
      <xdr:nvSpPr>
        <xdr:cNvPr id="54" name="任意多边形 53"/>
        <xdr:cNvSpPr/>
      </xdr:nvSpPr>
      <xdr:spPr>
        <a:xfrm>
          <a:off x="8286115" y="5838825"/>
          <a:ext cx="45720" cy="6985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711517</xdr:colOff>
      <xdr:row>23</xdr:row>
      <xdr:rowOff>47249</xdr:rowOff>
    </xdr:from>
    <xdr:to>
      <xdr:col>15</xdr:col>
      <xdr:colOff>754380</xdr:colOff>
      <xdr:row>23</xdr:row>
      <xdr:rowOff>116806</xdr:rowOff>
    </xdr:to>
    <xdr:sp>
      <xdr:nvSpPr>
        <xdr:cNvPr id="55" name="任意多边形 54"/>
        <xdr:cNvSpPr/>
      </xdr:nvSpPr>
      <xdr:spPr>
        <a:xfrm flipH="1">
          <a:off x="8820150" y="5841365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163606</xdr:colOff>
      <xdr:row>20</xdr:row>
      <xdr:rowOff>104775</xdr:rowOff>
    </xdr:from>
    <xdr:to>
      <xdr:col>15</xdr:col>
      <xdr:colOff>716056</xdr:colOff>
      <xdr:row>20</xdr:row>
      <xdr:rowOff>104775</xdr:rowOff>
    </xdr:to>
    <xdr:sp>
      <xdr:nvSpPr>
        <xdr:cNvPr id="56" name="Line 17"/>
        <xdr:cNvSpPr>
          <a:spLocks noChangeShapeType="1"/>
        </xdr:cNvSpPr>
      </xdr:nvSpPr>
      <xdr:spPr>
        <a:xfrm>
          <a:off x="8326120" y="5137150"/>
          <a:ext cx="494030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163606</xdr:colOff>
      <xdr:row>21</xdr:row>
      <xdr:rowOff>113445</xdr:rowOff>
    </xdr:from>
    <xdr:to>
      <xdr:col>15</xdr:col>
      <xdr:colOff>716056</xdr:colOff>
      <xdr:row>21</xdr:row>
      <xdr:rowOff>113445</xdr:rowOff>
    </xdr:to>
    <xdr:sp>
      <xdr:nvSpPr>
        <xdr:cNvPr id="57" name="Line 17"/>
        <xdr:cNvSpPr>
          <a:spLocks noChangeShapeType="1"/>
        </xdr:cNvSpPr>
      </xdr:nvSpPr>
      <xdr:spPr>
        <a:xfrm>
          <a:off x="8326120" y="5399405"/>
          <a:ext cx="494030" cy="0"/>
        </a:xfrm>
        <a:prstGeom prst="line">
          <a:avLst/>
        </a:prstGeom>
        <a:noFill/>
        <a:ln w="25400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120966</xdr:colOff>
      <xdr:row>20</xdr:row>
      <xdr:rowOff>35718</xdr:rowOff>
    </xdr:from>
    <xdr:to>
      <xdr:col>15</xdr:col>
      <xdr:colOff>166685</xdr:colOff>
      <xdr:row>20</xdr:row>
      <xdr:rowOff>104774</xdr:rowOff>
    </xdr:to>
    <xdr:sp>
      <xdr:nvSpPr>
        <xdr:cNvPr id="58" name="任意多边形 57"/>
        <xdr:cNvSpPr/>
      </xdr:nvSpPr>
      <xdr:spPr>
        <a:xfrm>
          <a:off x="8283575" y="5067935"/>
          <a:ext cx="45720" cy="6858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709135</xdr:colOff>
      <xdr:row>20</xdr:row>
      <xdr:rowOff>38099</xdr:rowOff>
    </xdr:from>
    <xdr:to>
      <xdr:col>15</xdr:col>
      <xdr:colOff>754380</xdr:colOff>
      <xdr:row>20</xdr:row>
      <xdr:rowOff>107155</xdr:rowOff>
    </xdr:to>
    <xdr:sp>
      <xdr:nvSpPr>
        <xdr:cNvPr id="59" name="任意多边形 58"/>
        <xdr:cNvSpPr/>
      </xdr:nvSpPr>
      <xdr:spPr>
        <a:xfrm flipH="1">
          <a:off x="8820150" y="5069840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123348</xdr:colOff>
      <xdr:row>21</xdr:row>
      <xdr:rowOff>44868</xdr:rowOff>
    </xdr:from>
    <xdr:to>
      <xdr:col>15</xdr:col>
      <xdr:colOff>169067</xdr:colOff>
      <xdr:row>21</xdr:row>
      <xdr:rowOff>114425</xdr:rowOff>
    </xdr:to>
    <xdr:sp>
      <xdr:nvSpPr>
        <xdr:cNvPr id="60" name="任意多边形 59"/>
        <xdr:cNvSpPr/>
      </xdr:nvSpPr>
      <xdr:spPr>
        <a:xfrm>
          <a:off x="8286115" y="5330825"/>
          <a:ext cx="45720" cy="69850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15</xdr:col>
      <xdr:colOff>711517</xdr:colOff>
      <xdr:row>21</xdr:row>
      <xdr:rowOff>47249</xdr:rowOff>
    </xdr:from>
    <xdr:to>
      <xdr:col>15</xdr:col>
      <xdr:colOff>754380</xdr:colOff>
      <xdr:row>21</xdr:row>
      <xdr:rowOff>116806</xdr:rowOff>
    </xdr:to>
    <xdr:sp>
      <xdr:nvSpPr>
        <xdr:cNvPr id="61" name="任意多边形 60"/>
        <xdr:cNvSpPr/>
      </xdr:nvSpPr>
      <xdr:spPr>
        <a:xfrm flipH="1">
          <a:off x="8820150" y="5333365"/>
          <a:ext cx="0" cy="69215"/>
        </a:xfrm>
        <a:custGeom>
          <a:avLst/>
          <a:gdLst>
            <a:gd name="connsiteX0" fmla="*/ 184547 w 184547"/>
            <a:gd name="connsiteY0" fmla="*/ 350044 h 350044"/>
            <a:gd name="connsiteX1" fmla="*/ 3572 w 184547"/>
            <a:gd name="connsiteY1" fmla="*/ 171450 h 350044"/>
            <a:gd name="connsiteX2" fmla="*/ 163116 w 184547"/>
            <a:gd name="connsiteY2" fmla="*/ 0 h 350044"/>
            <a:gd name="connsiteX0-1" fmla="*/ 200819 w 200819"/>
            <a:gd name="connsiteY0-2" fmla="*/ 350044 h 350044"/>
            <a:gd name="connsiteX1-3" fmla="*/ 19844 w 200819"/>
            <a:gd name="connsiteY1-4" fmla="*/ 171450 h 350044"/>
            <a:gd name="connsiteX2-5" fmla="*/ 72231 w 200819"/>
            <a:gd name="connsiteY2-6" fmla="*/ 40482 h 350044"/>
            <a:gd name="connsiteX3" fmla="*/ 179388 w 200819"/>
            <a:gd name="connsiteY3" fmla="*/ 0 h 350044"/>
            <a:gd name="connsiteX0-7" fmla="*/ 200819 w 200819"/>
            <a:gd name="connsiteY0-8" fmla="*/ 350044 h 350044"/>
            <a:gd name="connsiteX1-9" fmla="*/ 79375 w 200819"/>
            <a:gd name="connsiteY1-10" fmla="*/ 304800 h 350044"/>
            <a:gd name="connsiteX2-11" fmla="*/ 19844 w 200819"/>
            <a:gd name="connsiteY2-12" fmla="*/ 171450 h 350044"/>
            <a:gd name="connsiteX3-13" fmla="*/ 72231 w 200819"/>
            <a:gd name="connsiteY3-14" fmla="*/ 40482 h 350044"/>
            <a:gd name="connsiteX4" fmla="*/ 179388 w 200819"/>
            <a:gd name="connsiteY4" fmla="*/ 0 h 350044"/>
            <a:gd name="connsiteX0-15" fmla="*/ 200819 w 200819"/>
            <a:gd name="connsiteY0-16" fmla="*/ 350044 h 350044"/>
            <a:gd name="connsiteX1-17" fmla="*/ 72231 w 200819"/>
            <a:gd name="connsiteY1-18" fmla="*/ 295275 h 350044"/>
            <a:gd name="connsiteX2-19" fmla="*/ 19844 w 200819"/>
            <a:gd name="connsiteY2-20" fmla="*/ 171450 h 350044"/>
            <a:gd name="connsiteX3-21" fmla="*/ 72231 w 200819"/>
            <a:gd name="connsiteY3-22" fmla="*/ 40482 h 350044"/>
            <a:gd name="connsiteX4-23" fmla="*/ 179388 w 200819"/>
            <a:gd name="connsiteY4-24" fmla="*/ 0 h 35004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13" y="connsiteY3-14"/>
            </a:cxn>
            <a:cxn ang="0">
              <a:pos x="connsiteX4-23" y="connsiteY4-24"/>
            </a:cxn>
          </a:cxnLst>
          <a:rect l="l" t="t" r="r" b="b"/>
          <a:pathLst>
            <a:path w="200819" h="350044">
              <a:moveTo>
                <a:pt x="200819" y="350044"/>
              </a:moveTo>
              <a:cubicBezTo>
                <a:pt x="183753" y="337344"/>
                <a:pt x="102394" y="325041"/>
                <a:pt x="72231" y="295275"/>
              </a:cubicBezTo>
              <a:cubicBezTo>
                <a:pt x="42069" y="265509"/>
                <a:pt x="24210" y="210344"/>
                <a:pt x="19844" y="171450"/>
              </a:cubicBezTo>
              <a:cubicBezTo>
                <a:pt x="0" y="124619"/>
                <a:pt x="45640" y="69057"/>
                <a:pt x="72231" y="40482"/>
              </a:cubicBezTo>
              <a:cubicBezTo>
                <a:pt x="98822" y="11907"/>
                <a:pt x="163116" y="11510"/>
                <a:pt x="179388" y="0"/>
              </a:cubicBezTo>
            </a:path>
          </a:pathLst>
        </a:cu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66040</xdr:colOff>
      <xdr:row>16</xdr:row>
      <xdr:rowOff>62865</xdr:rowOff>
    </xdr:from>
    <xdr:to>
      <xdr:col>5</xdr:col>
      <xdr:colOff>590550</xdr:colOff>
      <xdr:row>16</xdr:row>
      <xdr:rowOff>139065</xdr:rowOff>
    </xdr:to>
    <xdr:sp>
      <xdr:nvSpPr>
        <xdr:cNvPr id="2" name="任意多边形 1"/>
        <xdr:cNvSpPr/>
      </xdr:nvSpPr>
      <xdr:spPr>
        <a:xfrm>
          <a:off x="3228340" y="3745865"/>
          <a:ext cx="524510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85725</xdr:colOff>
      <xdr:row>17</xdr:row>
      <xdr:rowOff>63500</xdr:rowOff>
    </xdr:from>
    <xdr:to>
      <xdr:col>5</xdr:col>
      <xdr:colOff>590550</xdr:colOff>
      <xdr:row>17</xdr:row>
      <xdr:rowOff>139700</xdr:rowOff>
    </xdr:to>
    <xdr:sp>
      <xdr:nvSpPr>
        <xdr:cNvPr id="3" name="任意多边形 2"/>
        <xdr:cNvSpPr/>
      </xdr:nvSpPr>
      <xdr:spPr>
        <a:xfrm>
          <a:off x="3248025" y="4000500"/>
          <a:ext cx="504825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69850</xdr:colOff>
      <xdr:row>18</xdr:row>
      <xdr:rowOff>79375</xdr:rowOff>
    </xdr:from>
    <xdr:to>
      <xdr:col>5</xdr:col>
      <xdr:colOff>590550</xdr:colOff>
      <xdr:row>18</xdr:row>
      <xdr:rowOff>155575</xdr:rowOff>
    </xdr:to>
    <xdr:sp>
      <xdr:nvSpPr>
        <xdr:cNvPr id="4" name="任意多边形 3"/>
        <xdr:cNvSpPr/>
      </xdr:nvSpPr>
      <xdr:spPr>
        <a:xfrm>
          <a:off x="3232150" y="4270375"/>
          <a:ext cx="520700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82550</xdr:colOff>
      <xdr:row>19</xdr:row>
      <xdr:rowOff>73025</xdr:rowOff>
    </xdr:from>
    <xdr:to>
      <xdr:col>5</xdr:col>
      <xdr:colOff>590550</xdr:colOff>
      <xdr:row>19</xdr:row>
      <xdr:rowOff>149225</xdr:rowOff>
    </xdr:to>
    <xdr:sp>
      <xdr:nvSpPr>
        <xdr:cNvPr id="5" name="任意多边形 4"/>
        <xdr:cNvSpPr/>
      </xdr:nvSpPr>
      <xdr:spPr>
        <a:xfrm>
          <a:off x="3244850" y="4518025"/>
          <a:ext cx="508000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85725</xdr:colOff>
      <xdr:row>20</xdr:row>
      <xdr:rowOff>50800</xdr:rowOff>
    </xdr:from>
    <xdr:to>
      <xdr:col>5</xdr:col>
      <xdr:colOff>590550</xdr:colOff>
      <xdr:row>20</xdr:row>
      <xdr:rowOff>127000</xdr:rowOff>
    </xdr:to>
    <xdr:sp>
      <xdr:nvSpPr>
        <xdr:cNvPr id="6" name="任意多边形 5"/>
        <xdr:cNvSpPr/>
      </xdr:nvSpPr>
      <xdr:spPr>
        <a:xfrm>
          <a:off x="3248025" y="4749800"/>
          <a:ext cx="504825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98425</xdr:colOff>
      <xdr:row>21</xdr:row>
      <xdr:rowOff>63500</xdr:rowOff>
    </xdr:from>
    <xdr:to>
      <xdr:col>5</xdr:col>
      <xdr:colOff>590550</xdr:colOff>
      <xdr:row>21</xdr:row>
      <xdr:rowOff>139700</xdr:rowOff>
    </xdr:to>
    <xdr:sp>
      <xdr:nvSpPr>
        <xdr:cNvPr id="7" name="任意多边形 6"/>
        <xdr:cNvSpPr/>
      </xdr:nvSpPr>
      <xdr:spPr>
        <a:xfrm>
          <a:off x="3260725" y="5016500"/>
          <a:ext cx="492125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85725</xdr:colOff>
      <xdr:row>22</xdr:row>
      <xdr:rowOff>53975</xdr:rowOff>
    </xdr:from>
    <xdr:to>
      <xdr:col>5</xdr:col>
      <xdr:colOff>590550</xdr:colOff>
      <xdr:row>22</xdr:row>
      <xdr:rowOff>130175</xdr:rowOff>
    </xdr:to>
    <xdr:sp>
      <xdr:nvSpPr>
        <xdr:cNvPr id="8" name="任意多边形 7"/>
        <xdr:cNvSpPr/>
      </xdr:nvSpPr>
      <xdr:spPr>
        <a:xfrm>
          <a:off x="3248025" y="5260975"/>
          <a:ext cx="504825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98425</xdr:colOff>
      <xdr:row>23</xdr:row>
      <xdr:rowOff>50800</xdr:rowOff>
    </xdr:from>
    <xdr:to>
      <xdr:col>5</xdr:col>
      <xdr:colOff>590550</xdr:colOff>
      <xdr:row>23</xdr:row>
      <xdr:rowOff>127000</xdr:rowOff>
    </xdr:to>
    <xdr:sp>
      <xdr:nvSpPr>
        <xdr:cNvPr id="9" name="任意多边形 8"/>
        <xdr:cNvSpPr/>
      </xdr:nvSpPr>
      <xdr:spPr>
        <a:xfrm>
          <a:off x="3260725" y="5511800"/>
          <a:ext cx="492125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92075</xdr:colOff>
      <xdr:row>24</xdr:row>
      <xdr:rowOff>73025</xdr:rowOff>
    </xdr:from>
    <xdr:to>
      <xdr:col>5</xdr:col>
      <xdr:colOff>590550</xdr:colOff>
      <xdr:row>24</xdr:row>
      <xdr:rowOff>149225</xdr:rowOff>
    </xdr:to>
    <xdr:sp>
      <xdr:nvSpPr>
        <xdr:cNvPr id="10" name="任意多边形 9"/>
        <xdr:cNvSpPr/>
      </xdr:nvSpPr>
      <xdr:spPr>
        <a:xfrm>
          <a:off x="3254375" y="5788025"/>
          <a:ext cx="498475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76200</xdr:colOff>
      <xdr:row>25</xdr:row>
      <xdr:rowOff>60325</xdr:rowOff>
    </xdr:from>
    <xdr:to>
      <xdr:col>5</xdr:col>
      <xdr:colOff>590550</xdr:colOff>
      <xdr:row>25</xdr:row>
      <xdr:rowOff>136525</xdr:rowOff>
    </xdr:to>
    <xdr:sp>
      <xdr:nvSpPr>
        <xdr:cNvPr id="11" name="任意多边形 10"/>
        <xdr:cNvSpPr/>
      </xdr:nvSpPr>
      <xdr:spPr>
        <a:xfrm>
          <a:off x="3238500" y="6029325"/>
          <a:ext cx="514350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69850</xdr:colOff>
      <xdr:row>26</xdr:row>
      <xdr:rowOff>53975</xdr:rowOff>
    </xdr:from>
    <xdr:to>
      <xdr:col>5</xdr:col>
      <xdr:colOff>590550</xdr:colOff>
      <xdr:row>26</xdr:row>
      <xdr:rowOff>130175</xdr:rowOff>
    </xdr:to>
    <xdr:sp>
      <xdr:nvSpPr>
        <xdr:cNvPr id="12" name="任意多边形 11"/>
        <xdr:cNvSpPr/>
      </xdr:nvSpPr>
      <xdr:spPr>
        <a:xfrm>
          <a:off x="3232150" y="6276975"/>
          <a:ext cx="520700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92075</xdr:colOff>
      <xdr:row>27</xdr:row>
      <xdr:rowOff>50800</xdr:rowOff>
    </xdr:from>
    <xdr:to>
      <xdr:col>5</xdr:col>
      <xdr:colOff>590550</xdr:colOff>
      <xdr:row>27</xdr:row>
      <xdr:rowOff>127000</xdr:rowOff>
    </xdr:to>
    <xdr:sp>
      <xdr:nvSpPr>
        <xdr:cNvPr id="13" name="任意多边形 12"/>
        <xdr:cNvSpPr/>
      </xdr:nvSpPr>
      <xdr:spPr>
        <a:xfrm>
          <a:off x="3254375" y="6527800"/>
          <a:ext cx="498475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85725</xdr:colOff>
      <xdr:row>28</xdr:row>
      <xdr:rowOff>63500</xdr:rowOff>
    </xdr:from>
    <xdr:to>
      <xdr:col>5</xdr:col>
      <xdr:colOff>590550</xdr:colOff>
      <xdr:row>28</xdr:row>
      <xdr:rowOff>139700</xdr:rowOff>
    </xdr:to>
    <xdr:sp>
      <xdr:nvSpPr>
        <xdr:cNvPr id="14" name="任意多边形 13"/>
        <xdr:cNvSpPr/>
      </xdr:nvSpPr>
      <xdr:spPr>
        <a:xfrm>
          <a:off x="3248025" y="6794500"/>
          <a:ext cx="504825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5</xdr:col>
      <xdr:colOff>88900</xdr:colOff>
      <xdr:row>29</xdr:row>
      <xdr:rowOff>50800</xdr:rowOff>
    </xdr:from>
    <xdr:to>
      <xdr:col>5</xdr:col>
      <xdr:colOff>590550</xdr:colOff>
      <xdr:row>29</xdr:row>
      <xdr:rowOff>127000</xdr:rowOff>
    </xdr:to>
    <xdr:sp>
      <xdr:nvSpPr>
        <xdr:cNvPr id="15" name="任意多边形 14"/>
        <xdr:cNvSpPr/>
      </xdr:nvSpPr>
      <xdr:spPr>
        <a:xfrm>
          <a:off x="3251200" y="7035800"/>
          <a:ext cx="501650" cy="76200"/>
        </a:xfrm>
        <a:custGeom>
          <a:avLst/>
          <a:gdLst>
            <a:gd name="connisteX0" fmla="*/ 381555 w 3507556"/>
            <a:gd name="connsiteY0" fmla="*/ 0 h 510328"/>
            <a:gd name="connisteX1" fmla="*/ 555 w 3507556"/>
            <a:gd name="connsiteY1" fmla="*/ 228600 h 510328"/>
            <a:gd name="connisteX2" fmla="*/ 362505 w 3507556"/>
            <a:gd name="connsiteY2" fmla="*/ 485775 h 510328"/>
            <a:gd name="connisteX3" fmla="*/ 1800780 w 3507556"/>
            <a:gd name="connsiteY3" fmla="*/ 485775 h 510328"/>
            <a:gd name="connisteX4" fmla="*/ 3200955 w 3507556"/>
            <a:gd name="connsiteY4" fmla="*/ 485775 h 510328"/>
            <a:gd name="connisteX5" fmla="*/ 3505755 w 3507556"/>
            <a:gd name="connsiteY5" fmla="*/ 209550 h 510328"/>
            <a:gd name="connisteX6" fmla="*/ 3191430 w 3507556"/>
            <a:gd name="connsiteY6" fmla="*/ 9525 h 510328"/>
            <a:gd name="connisteX7" fmla="*/ 2705655 w 3507556"/>
            <a:gd name="connsiteY7" fmla="*/ 66675 h 510328"/>
          </a:gdLst>
          <a:ahLst/>
          <a:cxnLst>
            <a:cxn ang="0">
              <a:pos x="connisteX0" y="connsiteY0"/>
            </a:cxn>
            <a:cxn ang="0">
              <a:pos x="connisteX1" y="connsiteY1"/>
            </a:cxn>
            <a:cxn ang="0">
              <a:pos x="connisteX2" y="connsiteY2"/>
            </a:cxn>
            <a:cxn ang="0">
              <a:pos x="connisteX3" y="connsiteY3"/>
            </a:cxn>
            <a:cxn ang="0">
              <a:pos x="connisteX4" y="connsiteY4"/>
            </a:cxn>
            <a:cxn ang="0">
              <a:pos x="connisteX5" y="connsiteY5"/>
            </a:cxn>
            <a:cxn ang="0">
              <a:pos x="connisteX6" y="connsiteY6"/>
            </a:cxn>
            <a:cxn ang="0">
              <a:pos x="connisteX7" y="connsiteY7"/>
            </a:cxn>
          </a:cxnLst>
          <a:rect l="l" t="t" r="r" b="b"/>
          <a:pathLst>
            <a:path w="3507556" h="510328">
              <a:moveTo>
                <a:pt x="381555" y="0"/>
              </a:moveTo>
              <a:cubicBezTo>
                <a:pt x="298370" y="40640"/>
                <a:pt x="4365" y="131445"/>
                <a:pt x="555" y="228600"/>
              </a:cubicBezTo>
              <a:cubicBezTo>
                <a:pt x="-3255" y="325755"/>
                <a:pt x="2460" y="434340"/>
                <a:pt x="362505" y="485775"/>
              </a:cubicBezTo>
              <a:cubicBezTo>
                <a:pt x="722550" y="537210"/>
                <a:pt x="1233090" y="485775"/>
                <a:pt x="1800780" y="485775"/>
              </a:cubicBezTo>
              <a:cubicBezTo>
                <a:pt x="2368470" y="485775"/>
                <a:pt x="2859960" y="541020"/>
                <a:pt x="3200955" y="485775"/>
              </a:cubicBezTo>
              <a:cubicBezTo>
                <a:pt x="3541950" y="430530"/>
                <a:pt x="3507660" y="304800"/>
                <a:pt x="3505755" y="209550"/>
              </a:cubicBezTo>
              <a:cubicBezTo>
                <a:pt x="3503850" y="114300"/>
                <a:pt x="3351450" y="38100"/>
                <a:pt x="3191430" y="9525"/>
              </a:cubicBezTo>
            </a:path>
          </a:pathLst>
        </a:cu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topLeftCell="A15" workbookViewId="0">
      <selection activeCell="H9" sqref="H9"/>
    </sheetView>
  </sheetViews>
  <sheetFormatPr defaultColWidth="9" defaultRowHeight="13.5" outlineLevelCol="3"/>
  <cols>
    <col min="1" max="1" width="11.5" customWidth="1"/>
    <col min="2" max="2" width="41.5" customWidth="1"/>
    <col min="3" max="3" width="18" customWidth="1"/>
    <col min="4" max="4" width="11.375" customWidth="1"/>
  </cols>
  <sheetData>
    <row r="1" ht="25" customHeight="1" spans="1:4">
      <c r="A1" s="189" t="s">
        <v>0</v>
      </c>
      <c r="B1" s="189"/>
      <c r="C1" s="189"/>
      <c r="D1" s="189"/>
    </row>
    <row r="2" ht="21" customHeight="1" spans="1:4">
      <c r="A2" s="489" t="s">
        <v>1</v>
      </c>
      <c r="B2" s="489"/>
      <c r="C2" s="489"/>
      <c r="D2" s="489"/>
    </row>
    <row r="3" ht="10" customHeight="1"/>
    <row r="4" s="455" customFormat="1" ht="22" customHeight="1" spans="1:4">
      <c r="A4" s="464" t="s">
        <v>2</v>
      </c>
      <c r="B4" s="465" t="s">
        <v>3</v>
      </c>
      <c r="C4" s="465" t="s">
        <v>4</v>
      </c>
      <c r="D4" s="466" t="s">
        <v>5</v>
      </c>
    </row>
    <row r="5" s="455" customFormat="1" ht="22" customHeight="1" spans="1:4">
      <c r="A5" s="467">
        <v>1</v>
      </c>
      <c r="B5" s="468" t="s">
        <v>6</v>
      </c>
      <c r="C5" s="469" t="s">
        <v>7</v>
      </c>
      <c r="D5" s="470"/>
    </row>
    <row r="6" s="455" customFormat="1" ht="22" customHeight="1" spans="1:4">
      <c r="A6" s="467">
        <v>2</v>
      </c>
      <c r="B6" s="468" t="s">
        <v>8</v>
      </c>
      <c r="C6" s="469" t="s">
        <v>9</v>
      </c>
      <c r="D6" s="470"/>
    </row>
    <row r="7" s="455" customFormat="1" ht="22" customHeight="1" spans="1:4">
      <c r="A7" s="467">
        <v>3</v>
      </c>
      <c r="B7" s="471" t="s">
        <v>10</v>
      </c>
      <c r="C7" s="469"/>
      <c r="D7" s="470"/>
    </row>
    <row r="8" s="455" customFormat="1" ht="22" customHeight="1" spans="1:4">
      <c r="A8" s="467">
        <v>4</v>
      </c>
      <c r="B8" s="468" t="s">
        <v>11</v>
      </c>
      <c r="C8" s="469" t="s">
        <v>12</v>
      </c>
      <c r="D8" s="470"/>
    </row>
    <row r="9" s="455" customFormat="1" ht="22" customHeight="1" spans="1:4">
      <c r="A9" s="467">
        <v>5</v>
      </c>
      <c r="B9" s="468" t="s">
        <v>13</v>
      </c>
      <c r="C9" s="469" t="s">
        <v>14</v>
      </c>
      <c r="D9" s="470"/>
    </row>
    <row r="10" s="455" customFormat="1" ht="22" customHeight="1" spans="1:4">
      <c r="A10" s="467">
        <v>6</v>
      </c>
      <c r="B10" s="468" t="s">
        <v>15</v>
      </c>
      <c r="C10" s="469" t="s">
        <v>16</v>
      </c>
      <c r="D10" s="470"/>
    </row>
    <row r="11" s="455" customFormat="1" ht="22" customHeight="1" spans="1:4">
      <c r="A11" s="467">
        <v>7</v>
      </c>
      <c r="B11" s="468" t="s">
        <v>17</v>
      </c>
      <c r="C11" s="469" t="s">
        <v>18</v>
      </c>
      <c r="D11" s="470"/>
    </row>
    <row r="12" s="455" customFormat="1" ht="22" customHeight="1" spans="1:4">
      <c r="A12" s="467">
        <v>8</v>
      </c>
      <c r="B12" s="449" t="s">
        <v>19</v>
      </c>
      <c r="C12" s="469" t="s">
        <v>20</v>
      </c>
      <c r="D12" s="470"/>
    </row>
    <row r="13" s="455" customFormat="1" ht="22" customHeight="1" spans="1:4">
      <c r="A13" s="467">
        <v>9</v>
      </c>
      <c r="B13" s="468" t="s">
        <v>21</v>
      </c>
      <c r="C13" s="469" t="s">
        <v>22</v>
      </c>
      <c r="D13" s="470"/>
    </row>
    <row r="14" s="455" customFormat="1" ht="22" customHeight="1" spans="1:4">
      <c r="A14" s="467">
        <v>10</v>
      </c>
      <c r="B14" s="468" t="s">
        <v>23</v>
      </c>
      <c r="C14" s="469" t="s">
        <v>24</v>
      </c>
      <c r="D14" s="470"/>
    </row>
    <row r="15" s="455" customFormat="1" ht="22" customHeight="1" spans="1:4">
      <c r="A15" s="467">
        <v>11</v>
      </c>
      <c r="B15" s="468" t="s">
        <v>25</v>
      </c>
      <c r="C15" s="469" t="s">
        <v>26</v>
      </c>
      <c r="D15" s="470"/>
    </row>
    <row r="16" s="455" customFormat="1" ht="22" customHeight="1" spans="1:4">
      <c r="A16" s="467">
        <v>12</v>
      </c>
      <c r="B16" s="468" t="s">
        <v>27</v>
      </c>
      <c r="C16" s="469" t="s">
        <v>28</v>
      </c>
      <c r="D16" s="470"/>
    </row>
    <row r="17" s="455" customFormat="1" ht="22" customHeight="1" spans="1:4">
      <c r="A17" s="467">
        <v>13</v>
      </c>
      <c r="B17" s="471" t="s">
        <v>29</v>
      </c>
      <c r="C17" s="449"/>
      <c r="D17" s="470"/>
    </row>
    <row r="18" s="455" customFormat="1" ht="22" customHeight="1" spans="1:4">
      <c r="A18" s="467">
        <v>14</v>
      </c>
      <c r="B18" s="468" t="s">
        <v>30</v>
      </c>
      <c r="C18" s="469" t="s">
        <v>31</v>
      </c>
      <c r="D18" s="470"/>
    </row>
    <row r="19" s="455" customFormat="1" ht="22" customHeight="1" spans="1:4">
      <c r="A19" s="467">
        <v>15</v>
      </c>
      <c r="B19" s="468" t="s">
        <v>32</v>
      </c>
      <c r="C19" s="469" t="s">
        <v>33</v>
      </c>
      <c r="D19" s="470"/>
    </row>
    <row r="20" s="455" customFormat="1" ht="22" customHeight="1" spans="1:4">
      <c r="A20" s="467">
        <v>16</v>
      </c>
      <c r="B20" s="468" t="s">
        <v>34</v>
      </c>
      <c r="C20" s="469" t="s">
        <v>35</v>
      </c>
      <c r="D20" s="470"/>
    </row>
    <row r="21" s="455" customFormat="1" ht="22" customHeight="1" spans="1:4">
      <c r="A21" s="467">
        <v>17</v>
      </c>
      <c r="B21" s="468" t="s">
        <v>36</v>
      </c>
      <c r="C21" s="469" t="s">
        <v>37</v>
      </c>
      <c r="D21" s="470"/>
    </row>
    <row r="22" s="455" customFormat="1" ht="22" customHeight="1" spans="1:4">
      <c r="A22" s="467">
        <v>18</v>
      </c>
      <c r="B22" s="468" t="s">
        <v>38</v>
      </c>
      <c r="C22" s="469" t="s">
        <v>39</v>
      </c>
      <c r="D22" s="470"/>
    </row>
    <row r="23" s="455" customFormat="1" ht="22" customHeight="1" spans="1:4">
      <c r="A23" s="467">
        <v>19</v>
      </c>
      <c r="B23" s="468" t="s">
        <v>40</v>
      </c>
      <c r="C23" s="469" t="s">
        <v>41</v>
      </c>
      <c r="D23" s="470"/>
    </row>
    <row r="24" s="455" customFormat="1" ht="22" customHeight="1" spans="1:4">
      <c r="A24" s="467">
        <v>20</v>
      </c>
      <c r="B24" s="468" t="s">
        <v>42</v>
      </c>
      <c r="C24" s="469" t="s">
        <v>43</v>
      </c>
      <c r="D24" s="470"/>
    </row>
    <row r="25" s="455" customFormat="1" ht="22" customHeight="1" spans="1:4">
      <c r="A25" s="467">
        <v>21</v>
      </c>
      <c r="B25" s="468" t="s">
        <v>44</v>
      </c>
      <c r="C25" s="469" t="s">
        <v>45</v>
      </c>
      <c r="D25" s="470"/>
    </row>
    <row r="26" s="455" customFormat="1" ht="22" customHeight="1" spans="1:4">
      <c r="A26" s="467">
        <v>22</v>
      </c>
      <c r="B26" s="471" t="s">
        <v>46</v>
      </c>
      <c r="C26" s="449"/>
      <c r="D26" s="470"/>
    </row>
    <row r="27" s="455" customFormat="1" ht="22" customHeight="1" spans="1:4">
      <c r="A27" s="467">
        <v>23</v>
      </c>
      <c r="B27" s="468" t="s">
        <v>47</v>
      </c>
      <c r="C27" s="469" t="s">
        <v>48</v>
      </c>
      <c r="D27" s="470"/>
    </row>
    <row r="28" s="455" customFormat="1" ht="22" customHeight="1" spans="1:4">
      <c r="A28" s="467">
        <v>24</v>
      </c>
      <c r="B28" s="468" t="s">
        <v>49</v>
      </c>
      <c r="C28" s="469" t="s">
        <v>50</v>
      </c>
      <c r="D28" s="470"/>
    </row>
    <row r="29" s="455" customFormat="1" ht="22" customHeight="1" spans="1:4">
      <c r="A29" s="467">
        <v>25</v>
      </c>
      <c r="B29" s="468" t="s">
        <v>51</v>
      </c>
      <c r="C29" s="469" t="s">
        <v>52</v>
      </c>
      <c r="D29" s="470"/>
    </row>
    <row r="30" s="455" customFormat="1" ht="22" customHeight="1" spans="1:4">
      <c r="A30" s="467">
        <v>26</v>
      </c>
      <c r="B30" s="471" t="s">
        <v>53</v>
      </c>
      <c r="C30" s="449"/>
      <c r="D30" s="482"/>
    </row>
    <row r="31" s="455" customFormat="1" ht="22" customHeight="1" spans="1:4">
      <c r="A31" s="467">
        <v>27</v>
      </c>
      <c r="B31" s="449" t="s">
        <v>54</v>
      </c>
      <c r="C31" s="469" t="s">
        <v>55</v>
      </c>
      <c r="D31" s="482"/>
    </row>
    <row r="32" s="455" customFormat="1" ht="22" customHeight="1" spans="1:4">
      <c r="A32" s="467">
        <v>28</v>
      </c>
      <c r="B32" s="471" t="s">
        <v>56</v>
      </c>
      <c r="C32" s="449"/>
      <c r="D32" s="482"/>
    </row>
    <row r="33" s="455" customFormat="1" ht="22" customHeight="1" spans="1:4">
      <c r="A33" s="467">
        <v>29</v>
      </c>
      <c r="B33" s="468" t="s">
        <v>57</v>
      </c>
      <c r="C33" s="469" t="s">
        <v>58</v>
      </c>
      <c r="D33" s="482"/>
    </row>
    <row r="34" ht="22" customHeight="1" spans="1:4">
      <c r="A34" s="473">
        <v>30</v>
      </c>
      <c r="B34" s="474" t="s">
        <v>59</v>
      </c>
      <c r="C34" s="475" t="s">
        <v>60</v>
      </c>
      <c r="D34" s="490"/>
    </row>
  </sheetData>
  <mergeCells count="2">
    <mergeCell ref="A1:D1"/>
    <mergeCell ref="A2:D2"/>
  </mergeCells>
  <pageMargins left="1.18055555555556" right="0.314583333333333" top="0.550694444444444" bottom="0.786805555555556" header="0" footer="0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19"/>
  <sheetViews>
    <sheetView topLeftCell="L1" workbookViewId="0">
      <selection activeCell="N42" sqref="N42"/>
    </sheetView>
  </sheetViews>
  <sheetFormatPr defaultColWidth="9" defaultRowHeight="11.25"/>
  <cols>
    <col min="1" max="1" width="15.5666666666667" style="124" customWidth="1"/>
    <col min="2" max="2" width="6" style="124" customWidth="1"/>
    <col min="3" max="3" width="8.375" style="124" customWidth="1"/>
    <col min="4" max="4" width="22.8416666666667" style="124" customWidth="1"/>
    <col min="5" max="5" width="9" style="124"/>
    <col min="6" max="6" width="10.3583333333333" style="124" customWidth="1"/>
    <col min="7" max="7" width="11.15" style="280" customWidth="1"/>
    <col min="8" max="8" width="2.875" style="124" customWidth="1"/>
    <col min="9" max="9" width="15.5666666666667" style="124" customWidth="1"/>
    <col min="10" max="10" width="6" style="124" customWidth="1"/>
    <col min="11" max="11" width="8.375" style="124" customWidth="1"/>
    <col min="12" max="12" width="22.8416666666667" style="124" customWidth="1"/>
    <col min="13" max="13" width="9" style="124"/>
    <col min="14" max="14" width="10.3583333333333" style="124" customWidth="1"/>
    <col min="15" max="15" width="11.15" style="280" customWidth="1"/>
    <col min="16" max="16" width="2.625" style="124" customWidth="1"/>
    <col min="17" max="17" width="15.5666666666667" style="124" customWidth="1"/>
    <col min="18" max="18" width="6" style="124" customWidth="1"/>
    <col min="19" max="19" width="8.375" style="124" customWidth="1"/>
    <col min="20" max="20" width="22.8416666666667" style="124" customWidth="1"/>
    <col min="21" max="21" width="9" style="124"/>
    <col min="22" max="22" width="10.3583333333333" style="124" customWidth="1"/>
    <col min="23" max="23" width="11.15" style="280" customWidth="1"/>
    <col min="24" max="24" width="1.625" style="124" customWidth="1"/>
    <col min="25" max="25" width="15.5666666666667" style="124" customWidth="1"/>
    <col min="26" max="26" width="6" style="124" customWidth="1"/>
    <col min="27" max="27" width="8.375" style="124" customWidth="1"/>
    <col min="28" max="28" width="22.8416666666667" style="124" customWidth="1"/>
    <col min="29" max="29" width="9" style="124"/>
    <col min="30" max="30" width="10.3583333333333" style="124" customWidth="1"/>
    <col min="31" max="31" width="11.15" style="280" customWidth="1"/>
    <col min="32" max="16384" width="9" style="124"/>
  </cols>
  <sheetData>
    <row r="1" ht="33" customHeight="1" spans="1:31">
      <c r="A1" s="281" t="s">
        <v>277</v>
      </c>
      <c r="B1" s="281"/>
      <c r="C1" s="281"/>
      <c r="D1" s="281"/>
      <c r="E1" s="281"/>
      <c r="F1" s="281"/>
      <c r="G1" s="282"/>
      <c r="I1" s="281" t="s">
        <v>278</v>
      </c>
      <c r="J1" s="281"/>
      <c r="K1" s="281"/>
      <c r="L1" s="281"/>
      <c r="M1" s="281"/>
      <c r="N1" s="281"/>
      <c r="O1" s="282"/>
      <c r="P1" s="156"/>
      <c r="Q1" s="281" t="s">
        <v>279</v>
      </c>
      <c r="R1" s="281"/>
      <c r="S1" s="281"/>
      <c r="T1" s="281"/>
      <c r="U1" s="281"/>
      <c r="V1" s="281"/>
      <c r="W1" s="282"/>
      <c r="Y1" s="281" t="s">
        <v>280</v>
      </c>
      <c r="Z1" s="281"/>
      <c r="AA1" s="281"/>
      <c r="AB1" s="281"/>
      <c r="AC1" s="281"/>
      <c r="AD1" s="281"/>
      <c r="AE1" s="282"/>
    </row>
    <row r="2" s="277" customFormat="1" ht="24" customHeight="1" spans="1:31">
      <c r="A2" s="283" t="s">
        <v>281</v>
      </c>
      <c r="B2" s="284" t="s">
        <v>282</v>
      </c>
      <c r="C2" s="284"/>
      <c r="D2" s="284" t="s">
        <v>283</v>
      </c>
      <c r="E2" s="284"/>
      <c r="F2" s="284"/>
      <c r="G2" s="285"/>
      <c r="I2" s="283" t="s">
        <v>281</v>
      </c>
      <c r="J2" s="284" t="s">
        <v>282</v>
      </c>
      <c r="K2" s="284"/>
      <c r="L2" s="284" t="s">
        <v>283</v>
      </c>
      <c r="M2" s="284"/>
      <c r="N2" s="284"/>
      <c r="O2" s="285"/>
      <c r="P2" s="279"/>
      <c r="Q2" s="283" t="s">
        <v>281</v>
      </c>
      <c r="R2" s="284" t="s">
        <v>282</v>
      </c>
      <c r="S2" s="284"/>
      <c r="T2" s="284" t="s">
        <v>283</v>
      </c>
      <c r="U2" s="284"/>
      <c r="V2" s="284"/>
      <c r="W2" s="285"/>
      <c r="Y2" s="283" t="s">
        <v>281</v>
      </c>
      <c r="Z2" s="284" t="s">
        <v>282</v>
      </c>
      <c r="AA2" s="284"/>
      <c r="AB2" s="284" t="s">
        <v>283</v>
      </c>
      <c r="AC2" s="284"/>
      <c r="AD2" s="284"/>
      <c r="AE2" s="285"/>
    </row>
    <row r="3" s="278" customFormat="1" ht="17" customHeight="1" spans="1:31">
      <c r="A3" s="208"/>
      <c r="B3" s="209" t="s">
        <v>284</v>
      </c>
      <c r="C3" s="209" t="s">
        <v>285</v>
      </c>
      <c r="D3" s="209" t="s">
        <v>281</v>
      </c>
      <c r="E3" s="209" t="s">
        <v>284</v>
      </c>
      <c r="F3" s="209" t="s">
        <v>286</v>
      </c>
      <c r="G3" s="286" t="s">
        <v>287</v>
      </c>
      <c r="I3" s="208"/>
      <c r="J3" s="209" t="s">
        <v>284</v>
      </c>
      <c r="K3" s="209" t="s">
        <v>285</v>
      </c>
      <c r="L3" s="209" t="s">
        <v>281</v>
      </c>
      <c r="M3" s="209" t="s">
        <v>284</v>
      </c>
      <c r="N3" s="209" t="s">
        <v>286</v>
      </c>
      <c r="O3" s="30" t="s">
        <v>287</v>
      </c>
      <c r="P3" s="279"/>
      <c r="Q3" s="208"/>
      <c r="R3" s="209" t="s">
        <v>284</v>
      </c>
      <c r="S3" s="209" t="s">
        <v>285</v>
      </c>
      <c r="T3" s="209" t="s">
        <v>281</v>
      </c>
      <c r="U3" s="209" t="s">
        <v>284</v>
      </c>
      <c r="V3" s="209" t="s">
        <v>286</v>
      </c>
      <c r="W3" s="286" t="s">
        <v>287</v>
      </c>
      <c r="Y3" s="208"/>
      <c r="Z3" s="209" t="s">
        <v>284</v>
      </c>
      <c r="AA3" s="209" t="s">
        <v>285</v>
      </c>
      <c r="AB3" s="209" t="s">
        <v>281</v>
      </c>
      <c r="AC3" s="209" t="s">
        <v>284</v>
      </c>
      <c r="AD3" s="209" t="s">
        <v>286</v>
      </c>
      <c r="AE3" s="30" t="s">
        <v>287</v>
      </c>
    </row>
    <row r="4" s="278" customFormat="1" ht="11" customHeight="1" spans="1:31">
      <c r="A4" s="208"/>
      <c r="B4" s="209"/>
      <c r="C4" s="209"/>
      <c r="D4" s="209"/>
      <c r="E4" s="209"/>
      <c r="F4" s="209"/>
      <c r="G4" s="287"/>
      <c r="I4" s="208"/>
      <c r="J4" s="209"/>
      <c r="K4" s="209"/>
      <c r="L4" s="209"/>
      <c r="M4" s="209"/>
      <c r="N4" s="209"/>
      <c r="O4" s="297"/>
      <c r="P4" s="279"/>
      <c r="Q4" s="208"/>
      <c r="R4" s="209"/>
      <c r="S4" s="209"/>
      <c r="T4" s="209"/>
      <c r="U4" s="209"/>
      <c r="V4" s="209"/>
      <c r="W4" s="287"/>
      <c r="Y4" s="208"/>
      <c r="Z4" s="209"/>
      <c r="AA4" s="209"/>
      <c r="AB4" s="209"/>
      <c r="AC4" s="209"/>
      <c r="AD4" s="209"/>
      <c r="AE4" s="297"/>
    </row>
    <row r="5" s="279" customFormat="1" ht="24" customHeight="1" spans="1:31">
      <c r="A5" s="288" t="s">
        <v>288</v>
      </c>
      <c r="B5" s="289"/>
      <c r="C5" s="289"/>
      <c r="D5" s="289"/>
      <c r="E5" s="289"/>
      <c r="F5" s="289"/>
      <c r="G5" s="290"/>
      <c r="I5" s="288" t="s">
        <v>288</v>
      </c>
      <c r="J5" s="289"/>
      <c r="K5" s="289"/>
      <c r="L5" s="289"/>
      <c r="M5" s="289"/>
      <c r="N5" s="289"/>
      <c r="O5" s="290"/>
      <c r="Q5" s="288" t="s">
        <v>288</v>
      </c>
      <c r="R5" s="289"/>
      <c r="S5" s="289"/>
      <c r="T5" s="289"/>
      <c r="U5" s="289"/>
      <c r="V5" s="289"/>
      <c r="W5" s="290"/>
      <c r="Y5" s="288" t="s">
        <v>288</v>
      </c>
      <c r="Z5" s="289"/>
      <c r="AA5" s="289"/>
      <c r="AB5" s="289"/>
      <c r="AC5" s="289"/>
      <c r="AD5" s="289"/>
      <c r="AE5" s="290"/>
    </row>
    <row r="6" s="279" customFormat="1" ht="21" customHeight="1" spans="1:31">
      <c r="A6" s="5" t="s">
        <v>289</v>
      </c>
      <c r="B6" s="8" t="s">
        <v>290</v>
      </c>
      <c r="C6" s="8">
        <v>1122</v>
      </c>
      <c r="D6" s="291" t="s">
        <v>291</v>
      </c>
      <c r="E6" s="162" t="s">
        <v>292</v>
      </c>
      <c r="F6" s="292">
        <v>0.5208</v>
      </c>
      <c r="G6" s="30">
        <f>C6*F6</f>
        <v>584.3376</v>
      </c>
      <c r="I6" s="5" t="s">
        <v>289</v>
      </c>
      <c r="J6" s="8" t="s">
        <v>290</v>
      </c>
      <c r="K6" s="8">
        <v>508</v>
      </c>
      <c r="L6" s="291" t="s">
        <v>291</v>
      </c>
      <c r="M6" s="162" t="s">
        <v>292</v>
      </c>
      <c r="N6" s="292">
        <v>0.5208</v>
      </c>
      <c r="O6" s="30">
        <f>K6*N6</f>
        <v>264.5664</v>
      </c>
      <c r="Q6" s="5" t="s">
        <v>289</v>
      </c>
      <c r="R6" s="8" t="s">
        <v>290</v>
      </c>
      <c r="S6" s="8">
        <v>1394</v>
      </c>
      <c r="T6" s="291" t="s">
        <v>291</v>
      </c>
      <c r="U6" s="162" t="s">
        <v>292</v>
      </c>
      <c r="V6" s="292">
        <v>0.5208</v>
      </c>
      <c r="W6" s="30">
        <f>S6*V6</f>
        <v>725.9952</v>
      </c>
      <c r="Y6" s="5" t="s">
        <v>289</v>
      </c>
      <c r="Z6" s="8" t="s">
        <v>290</v>
      </c>
      <c r="AA6" s="8">
        <v>1703</v>
      </c>
      <c r="AB6" s="291" t="s">
        <v>291</v>
      </c>
      <c r="AC6" s="162" t="s">
        <v>292</v>
      </c>
      <c r="AD6" s="292">
        <v>0.5208</v>
      </c>
      <c r="AE6" s="30">
        <f>AA6*AD6</f>
        <v>886.9224</v>
      </c>
    </row>
    <row r="7" s="279" customFormat="1" ht="21" customHeight="1" spans="1:31">
      <c r="A7" s="5"/>
      <c r="B7" s="8"/>
      <c r="C7" s="8"/>
      <c r="D7" s="291" t="s">
        <v>293</v>
      </c>
      <c r="E7" s="162" t="s">
        <v>292</v>
      </c>
      <c r="F7" s="292">
        <v>0.2236</v>
      </c>
      <c r="G7" s="30">
        <f>C6*F7</f>
        <v>250.8792</v>
      </c>
      <c r="I7" s="5"/>
      <c r="J7" s="8"/>
      <c r="K7" s="8"/>
      <c r="L7" s="291" t="s">
        <v>293</v>
      </c>
      <c r="M7" s="162" t="s">
        <v>292</v>
      </c>
      <c r="N7" s="292">
        <v>0.2236</v>
      </c>
      <c r="O7" s="30">
        <f>K6*N7</f>
        <v>113.5888</v>
      </c>
      <c r="Q7" s="5"/>
      <c r="R7" s="8"/>
      <c r="S7" s="8"/>
      <c r="T7" s="291" t="s">
        <v>293</v>
      </c>
      <c r="U7" s="162" t="s">
        <v>292</v>
      </c>
      <c r="V7" s="292">
        <v>0.2236</v>
      </c>
      <c r="W7" s="30">
        <f>S6*V7</f>
        <v>311.6984</v>
      </c>
      <c r="Y7" s="5"/>
      <c r="Z7" s="8"/>
      <c r="AA7" s="8"/>
      <c r="AB7" s="291" t="s">
        <v>293</v>
      </c>
      <c r="AC7" s="162" t="s">
        <v>292</v>
      </c>
      <c r="AD7" s="292">
        <v>0.2236</v>
      </c>
      <c r="AE7" s="30">
        <f>AA6*AD7</f>
        <v>380.7908</v>
      </c>
    </row>
    <row r="8" s="279" customFormat="1" ht="21" customHeight="1" spans="1:31">
      <c r="A8" s="5"/>
      <c r="B8" s="8"/>
      <c r="C8" s="8"/>
      <c r="D8" s="291" t="s">
        <v>294</v>
      </c>
      <c r="E8" s="162" t="s">
        <v>292</v>
      </c>
      <c r="F8" s="292">
        <f>0.5*0.2*2</f>
        <v>0.2</v>
      </c>
      <c r="G8" s="30">
        <f>C6*F8</f>
        <v>224.4</v>
      </c>
      <c r="I8" s="5"/>
      <c r="J8" s="8"/>
      <c r="K8" s="8"/>
      <c r="L8" s="291" t="s">
        <v>294</v>
      </c>
      <c r="M8" s="162" t="s">
        <v>292</v>
      </c>
      <c r="N8" s="292">
        <f>0.5*0.2*2</f>
        <v>0.2</v>
      </c>
      <c r="O8" s="30">
        <f>K6*N8</f>
        <v>101.6</v>
      </c>
      <c r="Q8" s="5"/>
      <c r="R8" s="8"/>
      <c r="S8" s="8"/>
      <c r="T8" s="291" t="s">
        <v>294</v>
      </c>
      <c r="U8" s="162" t="s">
        <v>292</v>
      </c>
      <c r="V8" s="292">
        <f>0.5*0.2*2</f>
        <v>0.2</v>
      </c>
      <c r="W8" s="30">
        <f>S6*V8</f>
        <v>278.8</v>
      </c>
      <c r="Y8" s="5"/>
      <c r="Z8" s="8"/>
      <c r="AA8" s="8"/>
      <c r="AB8" s="291" t="s">
        <v>294</v>
      </c>
      <c r="AC8" s="162" t="s">
        <v>292</v>
      </c>
      <c r="AD8" s="292">
        <f>0.5*0.2*2</f>
        <v>0.2</v>
      </c>
      <c r="AE8" s="30">
        <f>AA6*AD8</f>
        <v>340.6</v>
      </c>
    </row>
    <row r="9" s="279" customFormat="1" ht="21" customHeight="1" spans="1:31">
      <c r="A9" s="5"/>
      <c r="B9" s="8"/>
      <c r="C9" s="8"/>
      <c r="D9" s="291" t="s">
        <v>295</v>
      </c>
      <c r="E9" s="162" t="s">
        <v>292</v>
      </c>
      <c r="F9" s="292">
        <f>0.9*0.15</f>
        <v>0.135</v>
      </c>
      <c r="G9" s="30">
        <f>C6*F9</f>
        <v>151.47</v>
      </c>
      <c r="I9" s="5"/>
      <c r="J9" s="8"/>
      <c r="K9" s="8"/>
      <c r="L9" s="291" t="s">
        <v>295</v>
      </c>
      <c r="M9" s="162" t="s">
        <v>292</v>
      </c>
      <c r="N9" s="292">
        <f>0.9*0.15</f>
        <v>0.135</v>
      </c>
      <c r="O9" s="30">
        <f>K6*N9</f>
        <v>68.58</v>
      </c>
      <c r="Q9" s="5"/>
      <c r="R9" s="8"/>
      <c r="S9" s="8"/>
      <c r="T9" s="291" t="s">
        <v>295</v>
      </c>
      <c r="U9" s="162" t="s">
        <v>292</v>
      </c>
      <c r="V9" s="292">
        <f>0.9*0.15</f>
        <v>0.135</v>
      </c>
      <c r="W9" s="30">
        <f>S6*V9</f>
        <v>188.19</v>
      </c>
      <c r="Y9" s="5"/>
      <c r="Z9" s="8"/>
      <c r="AA9" s="8"/>
      <c r="AB9" s="291" t="s">
        <v>295</v>
      </c>
      <c r="AC9" s="162" t="s">
        <v>292</v>
      </c>
      <c r="AD9" s="292">
        <f>0.9*0.15</f>
        <v>0.135</v>
      </c>
      <c r="AE9" s="30">
        <f>AA6*AD9</f>
        <v>229.905</v>
      </c>
    </row>
    <row r="10" s="279" customFormat="1" ht="21" customHeight="1" spans="1:31">
      <c r="A10" s="5"/>
      <c r="B10" s="8"/>
      <c r="C10" s="8"/>
      <c r="D10" s="291" t="s">
        <v>296</v>
      </c>
      <c r="E10" s="162" t="s">
        <v>297</v>
      </c>
      <c r="F10" s="292">
        <f>0.5*4+0.15*2</f>
        <v>2.3</v>
      </c>
      <c r="G10" s="30">
        <f>C6*F10</f>
        <v>2580.6</v>
      </c>
      <c r="I10" s="5"/>
      <c r="J10" s="8"/>
      <c r="K10" s="8"/>
      <c r="L10" s="291" t="s">
        <v>296</v>
      </c>
      <c r="M10" s="162" t="s">
        <v>297</v>
      </c>
      <c r="N10" s="292">
        <f>0.5*4+0.15*2</f>
        <v>2.3</v>
      </c>
      <c r="O10" s="30">
        <f>K6*N10</f>
        <v>1168.4</v>
      </c>
      <c r="Q10" s="5"/>
      <c r="R10" s="8"/>
      <c r="S10" s="8"/>
      <c r="T10" s="291" t="s">
        <v>296</v>
      </c>
      <c r="U10" s="162" t="s">
        <v>297</v>
      </c>
      <c r="V10" s="292">
        <f>0.5*4+0.15*2</f>
        <v>2.3</v>
      </c>
      <c r="W10" s="30">
        <f>S6*V10</f>
        <v>3206.2</v>
      </c>
      <c r="Y10" s="5"/>
      <c r="Z10" s="8"/>
      <c r="AA10" s="8"/>
      <c r="AB10" s="291" t="s">
        <v>296</v>
      </c>
      <c r="AC10" s="162" t="s">
        <v>297</v>
      </c>
      <c r="AD10" s="292">
        <f>0.5*4+0.15*2</f>
        <v>2.3</v>
      </c>
      <c r="AE10" s="30">
        <f>AA6*AD10</f>
        <v>3916.9</v>
      </c>
    </row>
    <row r="11" s="279" customFormat="1" ht="21" customHeight="1" spans="1:31">
      <c r="A11" s="5"/>
      <c r="B11" s="8"/>
      <c r="C11" s="8"/>
      <c r="D11" s="291" t="s">
        <v>298</v>
      </c>
      <c r="E11" s="162" t="s">
        <v>297</v>
      </c>
      <c r="F11" s="292">
        <f>(F8+F9)/10</f>
        <v>0.0335</v>
      </c>
      <c r="G11" s="30">
        <f>C6*F11</f>
        <v>37.587</v>
      </c>
      <c r="I11" s="5"/>
      <c r="J11" s="8"/>
      <c r="K11" s="8"/>
      <c r="L11" s="291" t="s">
        <v>298</v>
      </c>
      <c r="M11" s="162" t="s">
        <v>297</v>
      </c>
      <c r="N11" s="292">
        <f>(N8+N9)/10</f>
        <v>0.0335</v>
      </c>
      <c r="O11" s="30">
        <f>K6*N11</f>
        <v>17.018</v>
      </c>
      <c r="Q11" s="5"/>
      <c r="R11" s="8"/>
      <c r="S11" s="8"/>
      <c r="T11" s="291" t="s">
        <v>298</v>
      </c>
      <c r="U11" s="162" t="s">
        <v>297</v>
      </c>
      <c r="V11" s="292">
        <f>(V8+V9)/10</f>
        <v>0.0335</v>
      </c>
      <c r="W11" s="30">
        <f>S6*V11</f>
        <v>46.699</v>
      </c>
      <c r="Y11" s="5"/>
      <c r="Z11" s="8"/>
      <c r="AA11" s="8"/>
      <c r="AB11" s="291" t="s">
        <v>298</v>
      </c>
      <c r="AC11" s="162" t="s">
        <v>297</v>
      </c>
      <c r="AD11" s="292">
        <f>(AD8+AD9)/10</f>
        <v>0.0335</v>
      </c>
      <c r="AE11" s="30">
        <f>AA6*AD11</f>
        <v>57.0505</v>
      </c>
    </row>
    <row r="12" s="279" customFormat="1" ht="21" customHeight="1" spans="1:31">
      <c r="A12" s="5" t="s">
        <v>299</v>
      </c>
      <c r="B12" s="8" t="s">
        <v>290</v>
      </c>
      <c r="C12" s="8">
        <v>1196</v>
      </c>
      <c r="D12" s="291" t="s">
        <v>291</v>
      </c>
      <c r="E12" s="162" t="s">
        <v>300</v>
      </c>
      <c r="F12" s="292">
        <v>0.9363</v>
      </c>
      <c r="G12" s="30">
        <f>C12*F12</f>
        <v>1119.8148</v>
      </c>
      <c r="I12" s="5" t="s">
        <v>299</v>
      </c>
      <c r="J12" s="8" t="s">
        <v>290</v>
      </c>
      <c r="K12" s="8">
        <v>566</v>
      </c>
      <c r="L12" s="291" t="s">
        <v>291</v>
      </c>
      <c r="M12" s="162" t="s">
        <v>300</v>
      </c>
      <c r="N12" s="292">
        <v>0.9363</v>
      </c>
      <c r="O12" s="30">
        <f>K12*N12</f>
        <v>529.9458</v>
      </c>
      <c r="Q12" s="5" t="s">
        <v>301</v>
      </c>
      <c r="R12" s="8" t="s">
        <v>290</v>
      </c>
      <c r="S12" s="8">
        <v>4500</v>
      </c>
      <c r="T12" s="291" t="s">
        <v>302</v>
      </c>
      <c r="U12" s="162" t="s">
        <v>300</v>
      </c>
      <c r="V12" s="292">
        <f>0.5*0.15</f>
        <v>0.075</v>
      </c>
      <c r="W12" s="30">
        <f t="shared" ref="W12:W14" si="0">S12*V12</f>
        <v>337.5</v>
      </c>
      <c r="Y12" s="5"/>
      <c r="Z12" s="8"/>
      <c r="AA12" s="8"/>
      <c r="AB12" s="291"/>
      <c r="AC12" s="162"/>
      <c r="AD12" s="292"/>
      <c r="AE12" s="30"/>
    </row>
    <row r="13" s="279" customFormat="1" ht="21" customHeight="1" spans="1:31">
      <c r="A13" s="5"/>
      <c r="B13" s="8"/>
      <c r="C13" s="8"/>
      <c r="D13" s="291" t="s">
        <v>293</v>
      </c>
      <c r="E13" s="162" t="s">
        <v>300</v>
      </c>
      <c r="F13" s="292">
        <v>0.3486</v>
      </c>
      <c r="G13" s="30">
        <f>C12*F13</f>
        <v>416.9256</v>
      </c>
      <c r="I13" s="5"/>
      <c r="J13" s="8"/>
      <c r="K13" s="8"/>
      <c r="L13" s="291" t="s">
        <v>293</v>
      </c>
      <c r="M13" s="162" t="s">
        <v>300</v>
      </c>
      <c r="N13" s="292">
        <v>0.3486</v>
      </c>
      <c r="O13" s="30">
        <f>K12*N13</f>
        <v>197.3076</v>
      </c>
      <c r="Q13" s="5"/>
      <c r="R13" s="8"/>
      <c r="S13" s="8">
        <v>300</v>
      </c>
      <c r="T13" s="291" t="s">
        <v>303</v>
      </c>
      <c r="U13" s="162" t="s">
        <v>300</v>
      </c>
      <c r="V13" s="292">
        <f>0.1*0.6</f>
        <v>0.06</v>
      </c>
      <c r="W13" s="30">
        <f t="shared" si="0"/>
        <v>18</v>
      </c>
      <c r="Y13" s="5" t="s">
        <v>299</v>
      </c>
      <c r="Z13" s="8" t="s">
        <v>290</v>
      </c>
      <c r="AA13" s="8">
        <v>703</v>
      </c>
      <c r="AB13" s="291" t="s">
        <v>291</v>
      </c>
      <c r="AC13" s="162" t="s">
        <v>300</v>
      </c>
      <c r="AD13" s="292">
        <v>0.9363</v>
      </c>
      <c r="AE13" s="30">
        <f>AA13*AD13</f>
        <v>658.2189</v>
      </c>
    </row>
    <row r="14" s="279" customFormat="1" ht="21" customHeight="1" spans="1:31">
      <c r="A14" s="5"/>
      <c r="B14" s="8"/>
      <c r="C14" s="8"/>
      <c r="D14" s="291" t="s">
        <v>294</v>
      </c>
      <c r="E14" s="162" t="s">
        <v>300</v>
      </c>
      <c r="F14" s="292">
        <v>0.3</v>
      </c>
      <c r="G14" s="30">
        <f>C12*F14</f>
        <v>358.8</v>
      </c>
      <c r="I14" s="5"/>
      <c r="J14" s="8"/>
      <c r="K14" s="8"/>
      <c r="L14" s="291" t="s">
        <v>294</v>
      </c>
      <c r="M14" s="162" t="s">
        <v>300</v>
      </c>
      <c r="N14" s="292">
        <v>0.3</v>
      </c>
      <c r="O14" s="30">
        <f>K12*N14</f>
        <v>169.8</v>
      </c>
      <c r="Q14" s="5"/>
      <c r="R14" s="8"/>
      <c r="S14" s="8">
        <v>30</v>
      </c>
      <c r="T14" s="291" t="s">
        <v>304</v>
      </c>
      <c r="U14" s="162" t="s">
        <v>305</v>
      </c>
      <c r="V14" s="292">
        <f>0.3*0.2</f>
        <v>0.06</v>
      </c>
      <c r="W14" s="30">
        <f t="shared" si="0"/>
        <v>1.8</v>
      </c>
      <c r="Y14" s="5"/>
      <c r="Z14" s="8"/>
      <c r="AA14" s="8"/>
      <c r="AB14" s="291" t="s">
        <v>293</v>
      </c>
      <c r="AC14" s="162" t="s">
        <v>300</v>
      </c>
      <c r="AD14" s="292">
        <v>0.3486</v>
      </c>
      <c r="AE14" s="30">
        <f>AA13*AD14</f>
        <v>245.0658</v>
      </c>
    </row>
    <row r="15" s="279" customFormat="1" ht="21" customHeight="1" spans="1:31">
      <c r="A15" s="5"/>
      <c r="B15" s="8"/>
      <c r="C15" s="8"/>
      <c r="D15" s="291" t="s">
        <v>295</v>
      </c>
      <c r="E15" s="162" t="s">
        <v>300</v>
      </c>
      <c r="F15" s="292">
        <v>0.198</v>
      </c>
      <c r="G15" s="30">
        <f>C12*F15</f>
        <v>236.808</v>
      </c>
      <c r="I15" s="5"/>
      <c r="J15" s="8"/>
      <c r="K15" s="8"/>
      <c r="L15" s="291" t="s">
        <v>295</v>
      </c>
      <c r="M15" s="162" t="s">
        <v>300</v>
      </c>
      <c r="N15" s="292">
        <v>0.198</v>
      </c>
      <c r="O15" s="30">
        <f>K12*N15</f>
        <v>112.068</v>
      </c>
      <c r="Q15" s="288" t="s">
        <v>306</v>
      </c>
      <c r="R15" s="289"/>
      <c r="S15" s="289"/>
      <c r="T15" s="289"/>
      <c r="U15" s="289"/>
      <c r="V15" s="289"/>
      <c r="W15" s="290"/>
      <c r="Y15" s="5"/>
      <c r="Z15" s="8"/>
      <c r="AA15" s="8"/>
      <c r="AB15" s="291" t="s">
        <v>294</v>
      </c>
      <c r="AC15" s="162" t="s">
        <v>300</v>
      </c>
      <c r="AD15" s="292">
        <v>0.3</v>
      </c>
      <c r="AE15" s="30">
        <f>AA13*AD15</f>
        <v>210.9</v>
      </c>
    </row>
    <row r="16" s="279" customFormat="1" ht="21" customHeight="1" spans="1:31">
      <c r="A16" s="5"/>
      <c r="B16" s="8"/>
      <c r="C16" s="8"/>
      <c r="D16" s="291" t="s">
        <v>296</v>
      </c>
      <c r="E16" s="162" t="s">
        <v>305</v>
      </c>
      <c r="F16" s="292">
        <v>2.76</v>
      </c>
      <c r="G16" s="30">
        <f>C12*F16</f>
        <v>3300.96</v>
      </c>
      <c r="I16" s="5"/>
      <c r="J16" s="8"/>
      <c r="K16" s="8"/>
      <c r="L16" s="291" t="s">
        <v>296</v>
      </c>
      <c r="M16" s="162" t="s">
        <v>305</v>
      </c>
      <c r="N16" s="292">
        <v>2.76</v>
      </c>
      <c r="O16" s="30">
        <f>K12*N16</f>
        <v>1562.16</v>
      </c>
      <c r="Q16" s="5" t="s">
        <v>307</v>
      </c>
      <c r="R16" s="272" t="s">
        <v>308</v>
      </c>
      <c r="S16" s="272">
        <v>454</v>
      </c>
      <c r="T16" s="272" t="s">
        <v>309</v>
      </c>
      <c r="U16" s="162" t="s">
        <v>305</v>
      </c>
      <c r="V16" s="292">
        <v>4.5</v>
      </c>
      <c r="W16" s="30">
        <f>S16*V16</f>
        <v>2043</v>
      </c>
      <c r="Y16" s="5"/>
      <c r="Z16" s="8"/>
      <c r="AA16" s="8"/>
      <c r="AB16" s="291" t="s">
        <v>295</v>
      </c>
      <c r="AC16" s="162" t="s">
        <v>300</v>
      </c>
      <c r="AD16" s="292">
        <v>0.198</v>
      </c>
      <c r="AE16" s="30">
        <f>AA13*AD16</f>
        <v>139.194</v>
      </c>
    </row>
    <row r="17" s="279" customFormat="1" ht="21" customHeight="1" spans="1:31">
      <c r="A17" s="5"/>
      <c r="B17" s="8"/>
      <c r="C17" s="8"/>
      <c r="D17" s="291" t="s">
        <v>310</v>
      </c>
      <c r="E17" s="162" t="s">
        <v>300</v>
      </c>
      <c r="F17" s="292">
        <v>0.11</v>
      </c>
      <c r="G17" s="30">
        <f>C12*F17</f>
        <v>131.56</v>
      </c>
      <c r="I17" s="5"/>
      <c r="J17" s="8"/>
      <c r="K17" s="8"/>
      <c r="L17" s="291" t="s">
        <v>310</v>
      </c>
      <c r="M17" s="162" t="s">
        <v>300</v>
      </c>
      <c r="N17" s="292">
        <v>0.11</v>
      </c>
      <c r="O17" s="30">
        <f>K12*N17</f>
        <v>62.26</v>
      </c>
      <c r="Q17" s="5"/>
      <c r="R17" s="272"/>
      <c r="S17" s="272"/>
      <c r="T17" s="272" t="s">
        <v>311</v>
      </c>
      <c r="U17" s="162" t="s">
        <v>305</v>
      </c>
      <c r="V17" s="292">
        <v>4.5</v>
      </c>
      <c r="W17" s="30">
        <f>S16*V17</f>
        <v>2043</v>
      </c>
      <c r="Y17" s="5"/>
      <c r="Z17" s="8"/>
      <c r="AA17" s="8"/>
      <c r="AB17" s="291" t="s">
        <v>296</v>
      </c>
      <c r="AC17" s="162" t="s">
        <v>305</v>
      </c>
      <c r="AD17" s="292">
        <v>2.76</v>
      </c>
      <c r="AE17" s="30">
        <f>AA13*AD17</f>
        <v>1940.28</v>
      </c>
    </row>
    <row r="18" s="279" customFormat="1" ht="21" customHeight="1" spans="1:31">
      <c r="A18" s="5"/>
      <c r="B18" s="8"/>
      <c r="C18" s="8"/>
      <c r="D18" s="291" t="s">
        <v>298</v>
      </c>
      <c r="E18" s="162" t="s">
        <v>305</v>
      </c>
      <c r="F18" s="292">
        <v>0.0498</v>
      </c>
      <c r="G18" s="30">
        <f>C12*F18</f>
        <v>59.5608</v>
      </c>
      <c r="I18" s="5"/>
      <c r="J18" s="8"/>
      <c r="K18" s="8"/>
      <c r="L18" s="291" t="s">
        <v>298</v>
      </c>
      <c r="M18" s="162" t="s">
        <v>305</v>
      </c>
      <c r="N18" s="292">
        <v>0.0498</v>
      </c>
      <c r="O18" s="30">
        <f>K12*N18</f>
        <v>28.1868</v>
      </c>
      <c r="Q18" s="5"/>
      <c r="R18" s="272"/>
      <c r="S18" s="272"/>
      <c r="T18" s="272" t="s">
        <v>312</v>
      </c>
      <c r="U18" s="162" t="s">
        <v>305</v>
      </c>
      <c r="V18" s="292">
        <v>4.5</v>
      </c>
      <c r="W18" s="30">
        <f>S16*V18</f>
        <v>2043</v>
      </c>
      <c r="Y18" s="5"/>
      <c r="Z18" s="8"/>
      <c r="AA18" s="8"/>
      <c r="AB18" s="291" t="s">
        <v>310</v>
      </c>
      <c r="AC18" s="162" t="s">
        <v>300</v>
      </c>
      <c r="AD18" s="292">
        <v>0.11</v>
      </c>
      <c r="AE18" s="30">
        <f>AA13*AD18</f>
        <v>77.33</v>
      </c>
    </row>
    <row r="19" s="279" customFormat="1" ht="21" customHeight="1" spans="1:31">
      <c r="A19" s="5" t="s">
        <v>313</v>
      </c>
      <c r="B19" s="8" t="s">
        <v>290</v>
      </c>
      <c r="C19" s="8">
        <v>630</v>
      </c>
      <c r="D19" s="291" t="s">
        <v>291</v>
      </c>
      <c r="E19" s="162" t="s">
        <v>300</v>
      </c>
      <c r="F19" s="292">
        <v>2.1702</v>
      </c>
      <c r="G19" s="30">
        <f>C19*F19</f>
        <v>1367.226</v>
      </c>
      <c r="I19" s="16" t="s">
        <v>314</v>
      </c>
      <c r="J19" s="8" t="s">
        <v>290</v>
      </c>
      <c r="K19" s="8">
        <v>90</v>
      </c>
      <c r="L19" s="291" t="s">
        <v>291</v>
      </c>
      <c r="M19" s="162" t="s">
        <v>300</v>
      </c>
      <c r="N19" s="292">
        <v>0.9363</v>
      </c>
      <c r="O19" s="30">
        <f>K19*N19</f>
        <v>84.267</v>
      </c>
      <c r="Q19" s="5"/>
      <c r="R19" s="272"/>
      <c r="S19" s="272"/>
      <c r="T19" s="272" t="s">
        <v>315</v>
      </c>
      <c r="U19" s="162" t="s">
        <v>290</v>
      </c>
      <c r="V19" s="292">
        <v>0.892071</v>
      </c>
      <c r="W19" s="30">
        <f>S16*V19</f>
        <v>405.000234</v>
      </c>
      <c r="Y19" s="5"/>
      <c r="Z19" s="8"/>
      <c r="AA19" s="8"/>
      <c r="AB19" s="291" t="s">
        <v>298</v>
      </c>
      <c r="AC19" s="162" t="s">
        <v>305</v>
      </c>
      <c r="AD19" s="292">
        <v>0.0498</v>
      </c>
      <c r="AE19" s="30">
        <f>AA13*AD19</f>
        <v>35.0094</v>
      </c>
    </row>
    <row r="20" s="279" customFormat="1" ht="21" customHeight="1" spans="1:31">
      <c r="A20" s="5"/>
      <c r="B20" s="8"/>
      <c r="C20" s="8"/>
      <c r="D20" s="291" t="s">
        <v>293</v>
      </c>
      <c r="E20" s="162" t="s">
        <v>300</v>
      </c>
      <c r="F20" s="292">
        <v>0.8</v>
      </c>
      <c r="G20" s="30">
        <f>C19*F20</f>
        <v>504</v>
      </c>
      <c r="I20" s="293"/>
      <c r="J20" s="8"/>
      <c r="K20" s="8"/>
      <c r="L20" s="291" t="s">
        <v>293</v>
      </c>
      <c r="M20" s="162" t="s">
        <v>300</v>
      </c>
      <c r="N20" s="292">
        <v>0.3486</v>
      </c>
      <c r="O20" s="30">
        <f>K19*N20</f>
        <v>31.374</v>
      </c>
      <c r="Q20" s="5"/>
      <c r="R20" s="272"/>
      <c r="S20" s="272"/>
      <c r="T20" s="272" t="s">
        <v>291</v>
      </c>
      <c r="U20" s="162" t="s">
        <v>300</v>
      </c>
      <c r="V20" s="292">
        <f>W20/S16</f>
        <v>1.2834140969163</v>
      </c>
      <c r="W20" s="30">
        <v>582.67</v>
      </c>
      <c r="Y20" s="5"/>
      <c r="Z20" s="8"/>
      <c r="AA20" s="8"/>
      <c r="AB20" s="272"/>
      <c r="AC20" s="272"/>
      <c r="AD20" s="272"/>
      <c r="AE20" s="30"/>
    </row>
    <row r="21" s="279" customFormat="1" ht="21" customHeight="1" spans="1:31">
      <c r="A21" s="5"/>
      <c r="B21" s="8"/>
      <c r="C21" s="8"/>
      <c r="D21" s="291" t="s">
        <v>294</v>
      </c>
      <c r="E21" s="162" t="s">
        <v>300</v>
      </c>
      <c r="F21" s="292">
        <v>0.6</v>
      </c>
      <c r="G21" s="30">
        <f>C19*F21</f>
        <v>378</v>
      </c>
      <c r="I21" s="293"/>
      <c r="J21" s="8"/>
      <c r="K21" s="8"/>
      <c r="L21" s="291" t="s">
        <v>294</v>
      </c>
      <c r="M21" s="162" t="s">
        <v>300</v>
      </c>
      <c r="N21" s="292">
        <v>0.3</v>
      </c>
      <c r="O21" s="30">
        <f>K19*N21</f>
        <v>27</v>
      </c>
      <c r="Q21" s="300" t="s">
        <v>316</v>
      </c>
      <c r="R21" s="301"/>
      <c r="S21" s="301"/>
      <c r="T21" s="301"/>
      <c r="U21" s="301"/>
      <c r="V21" s="301"/>
      <c r="W21" s="302"/>
      <c r="Y21" s="5" t="s">
        <v>301</v>
      </c>
      <c r="Z21" s="8" t="s">
        <v>290</v>
      </c>
      <c r="AA21" s="8">
        <v>3500</v>
      </c>
      <c r="AB21" s="291" t="s">
        <v>302</v>
      </c>
      <c r="AC21" s="162" t="s">
        <v>300</v>
      </c>
      <c r="AD21" s="292">
        <f>0.5*0.15</f>
        <v>0.075</v>
      </c>
      <c r="AE21" s="30">
        <f t="shared" ref="AE21:AE23" si="1">AA21*AD21</f>
        <v>262.5</v>
      </c>
    </row>
    <row r="22" s="156" customFormat="1" ht="21" customHeight="1" spans="1:31">
      <c r="A22" s="5"/>
      <c r="B22" s="8"/>
      <c r="C22" s="8"/>
      <c r="D22" s="291" t="s">
        <v>295</v>
      </c>
      <c r="E22" s="162" t="s">
        <v>300</v>
      </c>
      <c r="F22" s="292">
        <v>0.32</v>
      </c>
      <c r="G22" s="30">
        <f>C19*F22</f>
        <v>201.6</v>
      </c>
      <c r="I22" s="293"/>
      <c r="J22" s="8"/>
      <c r="K22" s="8"/>
      <c r="L22" s="291" t="s">
        <v>295</v>
      </c>
      <c r="M22" s="162" t="s">
        <v>300</v>
      </c>
      <c r="N22" s="292">
        <v>0.198</v>
      </c>
      <c r="O22" s="30">
        <f>K19*N22</f>
        <v>17.82</v>
      </c>
      <c r="Q22" s="295"/>
      <c r="R22" s="295"/>
      <c r="S22" s="295"/>
      <c r="T22" s="295"/>
      <c r="U22" s="295"/>
      <c r="V22" s="295"/>
      <c r="W22" s="296"/>
      <c r="Y22" s="5"/>
      <c r="Z22" s="8"/>
      <c r="AA22" s="8">
        <v>300</v>
      </c>
      <c r="AB22" s="291" t="s">
        <v>303</v>
      </c>
      <c r="AC22" s="162" t="s">
        <v>300</v>
      </c>
      <c r="AD22" s="292">
        <f>0.1*0.6</f>
        <v>0.06</v>
      </c>
      <c r="AE22" s="30">
        <f t="shared" si="1"/>
        <v>18</v>
      </c>
    </row>
    <row r="23" s="156" customFormat="1" ht="21" customHeight="1" spans="1:31">
      <c r="A23" s="5"/>
      <c r="B23" s="8"/>
      <c r="C23" s="8"/>
      <c r="D23" s="291" t="s">
        <v>296</v>
      </c>
      <c r="E23" s="162" t="s">
        <v>305</v>
      </c>
      <c r="F23" s="292">
        <v>4.4</v>
      </c>
      <c r="G23" s="30">
        <f>C19*F23</f>
        <v>2772</v>
      </c>
      <c r="I23" s="293"/>
      <c r="J23" s="8"/>
      <c r="K23" s="8"/>
      <c r="L23" s="291" t="s">
        <v>296</v>
      </c>
      <c r="M23" s="162" t="s">
        <v>305</v>
      </c>
      <c r="N23" s="292">
        <v>2.76</v>
      </c>
      <c r="O23" s="30">
        <f>K19*N23</f>
        <v>248.4</v>
      </c>
      <c r="Q23" s="281" t="s">
        <v>317</v>
      </c>
      <c r="R23" s="281"/>
      <c r="S23" s="281"/>
      <c r="T23" s="281"/>
      <c r="U23" s="281"/>
      <c r="V23" s="281"/>
      <c r="W23" s="282"/>
      <c r="Y23" s="5"/>
      <c r="Z23" s="8"/>
      <c r="AA23" s="8">
        <v>30</v>
      </c>
      <c r="AB23" s="291" t="s">
        <v>304</v>
      </c>
      <c r="AC23" s="162" t="s">
        <v>305</v>
      </c>
      <c r="AD23" s="292">
        <f>0.3*0.2</f>
        <v>0.06</v>
      </c>
      <c r="AE23" s="30">
        <f t="shared" si="1"/>
        <v>1.8</v>
      </c>
    </row>
    <row r="24" s="279" customFormat="1" ht="21" customHeight="1" spans="1:31">
      <c r="A24" s="5"/>
      <c r="B24" s="8"/>
      <c r="C24" s="8"/>
      <c r="D24" s="291" t="s">
        <v>310</v>
      </c>
      <c r="E24" s="162" t="s">
        <v>300</v>
      </c>
      <c r="F24" s="292">
        <v>0.16</v>
      </c>
      <c r="G24" s="30">
        <f>C19*F24</f>
        <v>100.8</v>
      </c>
      <c r="I24" s="293"/>
      <c r="J24" s="8"/>
      <c r="K24" s="8"/>
      <c r="L24" s="291" t="s">
        <v>310</v>
      </c>
      <c r="M24" s="162" t="s">
        <v>300</v>
      </c>
      <c r="N24" s="292">
        <v>0.11</v>
      </c>
      <c r="O24" s="30">
        <f>K19*N24</f>
        <v>9.9</v>
      </c>
      <c r="Q24" s="283" t="s">
        <v>281</v>
      </c>
      <c r="R24" s="284" t="s">
        <v>282</v>
      </c>
      <c r="S24" s="284"/>
      <c r="T24" s="284" t="s">
        <v>283</v>
      </c>
      <c r="U24" s="284"/>
      <c r="V24" s="284"/>
      <c r="W24" s="285"/>
      <c r="Y24" s="288" t="s">
        <v>306</v>
      </c>
      <c r="Z24" s="289"/>
      <c r="AA24" s="289"/>
      <c r="AB24" s="289"/>
      <c r="AC24" s="289"/>
      <c r="AD24" s="289"/>
      <c r="AE24" s="290"/>
    </row>
    <row r="25" s="279" customFormat="1" ht="21" customHeight="1" spans="1:31">
      <c r="A25" s="5"/>
      <c r="B25" s="8"/>
      <c r="C25" s="8"/>
      <c r="D25" s="291" t="s">
        <v>298</v>
      </c>
      <c r="E25" s="162" t="s">
        <v>305</v>
      </c>
      <c r="F25" s="292">
        <v>0.092</v>
      </c>
      <c r="G25" s="30">
        <f>C19*F25</f>
        <v>57.96</v>
      </c>
      <c r="I25" s="19"/>
      <c r="J25" s="8"/>
      <c r="K25" s="8"/>
      <c r="L25" s="291" t="s">
        <v>298</v>
      </c>
      <c r="M25" s="162" t="s">
        <v>305</v>
      </c>
      <c r="N25" s="292">
        <v>0.0498</v>
      </c>
      <c r="O25" s="30">
        <f>K19*N25</f>
        <v>4.482</v>
      </c>
      <c r="Q25" s="208"/>
      <c r="R25" s="209" t="s">
        <v>284</v>
      </c>
      <c r="S25" s="209" t="s">
        <v>285</v>
      </c>
      <c r="T25" s="209" t="s">
        <v>281</v>
      </c>
      <c r="U25" s="209" t="s">
        <v>284</v>
      </c>
      <c r="V25" s="209" t="s">
        <v>286</v>
      </c>
      <c r="W25" s="286" t="s">
        <v>287</v>
      </c>
      <c r="Y25" s="11" t="s">
        <v>307</v>
      </c>
      <c r="Z25" s="312" t="s">
        <v>308</v>
      </c>
      <c r="AA25" s="312">
        <v>45</v>
      </c>
      <c r="AB25" s="312" t="s">
        <v>318</v>
      </c>
      <c r="AC25" s="165" t="s">
        <v>305</v>
      </c>
      <c r="AD25" s="294">
        <v>2.5</v>
      </c>
      <c r="AE25" s="32">
        <f>AA25*AD25</f>
        <v>112.5</v>
      </c>
    </row>
    <row r="26" s="279" customFormat="1" ht="21" customHeight="1" spans="1:31">
      <c r="A26" s="5"/>
      <c r="B26" s="8"/>
      <c r="C26" s="8"/>
      <c r="D26" s="272" t="s">
        <v>319</v>
      </c>
      <c r="E26" s="272" t="s">
        <v>290</v>
      </c>
      <c r="F26" s="8">
        <v>0.3</v>
      </c>
      <c r="G26" s="30">
        <f>C19*F26</f>
        <v>189</v>
      </c>
      <c r="I26" s="5" t="s">
        <v>301</v>
      </c>
      <c r="J26" s="8" t="s">
        <v>290</v>
      </c>
      <c r="K26" s="8">
        <v>3500</v>
      </c>
      <c r="L26" s="291" t="s">
        <v>302</v>
      </c>
      <c r="M26" s="162" t="s">
        <v>300</v>
      </c>
      <c r="N26" s="292">
        <f>0.5*0.15</f>
        <v>0.075</v>
      </c>
      <c r="O26" s="30">
        <f t="shared" ref="O26:O28" si="2">K26*N26</f>
        <v>262.5</v>
      </c>
      <c r="Q26" s="208"/>
      <c r="R26" s="209"/>
      <c r="S26" s="209"/>
      <c r="T26" s="209"/>
      <c r="U26" s="209"/>
      <c r="V26" s="209"/>
      <c r="W26" s="287"/>
      <c r="Y26" s="313"/>
      <c r="Z26" s="313"/>
      <c r="AA26" s="313"/>
      <c r="AB26" s="314"/>
      <c r="AC26" s="315"/>
      <c r="AD26" s="316"/>
      <c r="AE26" s="317"/>
    </row>
    <row r="27" s="279" customFormat="1" ht="21" customHeight="1" spans="1:23">
      <c r="A27" s="16" t="s">
        <v>320</v>
      </c>
      <c r="B27" s="8" t="s">
        <v>290</v>
      </c>
      <c r="C27" s="8">
        <v>9</v>
      </c>
      <c r="D27" s="272" t="s">
        <v>291</v>
      </c>
      <c r="E27" s="162" t="s">
        <v>300</v>
      </c>
      <c r="F27" s="292">
        <v>1.858</v>
      </c>
      <c r="G27" s="30">
        <f t="shared" ref="G27:G33" si="3">C27*F27</f>
        <v>16.722</v>
      </c>
      <c r="I27" s="5"/>
      <c r="J27" s="8"/>
      <c r="K27" s="8">
        <v>300</v>
      </c>
      <c r="L27" s="291" t="s">
        <v>303</v>
      </c>
      <c r="M27" s="162" t="s">
        <v>300</v>
      </c>
      <c r="N27" s="292">
        <f>0.1*0.6</f>
        <v>0.06</v>
      </c>
      <c r="O27" s="30">
        <f t="shared" si="2"/>
        <v>18</v>
      </c>
      <c r="Q27" s="288" t="s">
        <v>288</v>
      </c>
      <c r="R27" s="289"/>
      <c r="S27" s="289"/>
      <c r="T27" s="289"/>
      <c r="U27" s="289"/>
      <c r="V27" s="289"/>
      <c r="W27" s="290"/>
    </row>
    <row r="28" s="279" customFormat="1" ht="21" customHeight="1" spans="1:23">
      <c r="A28" s="293"/>
      <c r="B28" s="8"/>
      <c r="C28" s="8"/>
      <c r="D28" s="272" t="s">
        <v>293</v>
      </c>
      <c r="E28" s="162" t="s">
        <v>300</v>
      </c>
      <c r="F28" s="292">
        <v>1.1869</v>
      </c>
      <c r="G28" s="30">
        <f>C27*F28</f>
        <v>10.6821</v>
      </c>
      <c r="I28" s="11"/>
      <c r="J28" s="12"/>
      <c r="K28" s="12">
        <v>30</v>
      </c>
      <c r="L28" s="174" t="s">
        <v>304</v>
      </c>
      <c r="M28" s="165" t="s">
        <v>305</v>
      </c>
      <c r="N28" s="294">
        <f>0.3*0.2</f>
        <v>0.06</v>
      </c>
      <c r="O28" s="32">
        <f t="shared" si="2"/>
        <v>1.8</v>
      </c>
      <c r="Q28" s="303" t="s">
        <v>299</v>
      </c>
      <c r="R28" s="8" t="s">
        <v>290</v>
      </c>
      <c r="S28" s="8">
        <v>573</v>
      </c>
      <c r="T28" s="291" t="s">
        <v>291</v>
      </c>
      <c r="U28" s="162" t="s">
        <v>300</v>
      </c>
      <c r="V28" s="292">
        <v>0.9363</v>
      </c>
      <c r="W28" s="30">
        <f>S28*V28</f>
        <v>536.4999</v>
      </c>
    </row>
    <row r="29" s="279" customFormat="1" ht="21" customHeight="1" spans="1:23">
      <c r="A29" s="293"/>
      <c r="B29" s="8"/>
      <c r="C29" s="8"/>
      <c r="D29" s="272" t="s">
        <v>321</v>
      </c>
      <c r="E29" s="162" t="s">
        <v>300</v>
      </c>
      <c r="F29" s="292">
        <v>0.224</v>
      </c>
      <c r="G29" s="30">
        <f>C27*F29</f>
        <v>2.016</v>
      </c>
      <c r="I29" s="298"/>
      <c r="J29" s="298"/>
      <c r="K29" s="298"/>
      <c r="L29" s="298"/>
      <c r="M29" s="298"/>
      <c r="N29" s="298"/>
      <c r="O29" s="299"/>
      <c r="Q29" s="303"/>
      <c r="R29" s="8"/>
      <c r="S29" s="8"/>
      <c r="T29" s="291" t="s">
        <v>293</v>
      </c>
      <c r="U29" s="162" t="s">
        <v>300</v>
      </c>
      <c r="V29" s="292">
        <v>0.3486</v>
      </c>
      <c r="W29" s="30">
        <f>S28*V29</f>
        <v>199.7478</v>
      </c>
    </row>
    <row r="30" s="279" customFormat="1" ht="21" customHeight="1" spans="1:23">
      <c r="A30" s="19"/>
      <c r="B30" s="8"/>
      <c r="C30" s="8"/>
      <c r="D30" s="272" t="s">
        <v>322</v>
      </c>
      <c r="E30" s="272" t="s">
        <v>290</v>
      </c>
      <c r="F30" s="292">
        <v>1</v>
      </c>
      <c r="G30" s="30">
        <f>C27*F30</f>
        <v>9</v>
      </c>
      <c r="I30" s="298"/>
      <c r="J30" s="298"/>
      <c r="K30" s="298"/>
      <c r="L30" s="298"/>
      <c r="M30" s="298"/>
      <c r="N30" s="298"/>
      <c r="O30" s="299"/>
      <c r="Q30" s="303"/>
      <c r="R30" s="8"/>
      <c r="S30" s="8"/>
      <c r="T30" s="291" t="s">
        <v>294</v>
      </c>
      <c r="U30" s="162" t="s">
        <v>300</v>
      </c>
      <c r="V30" s="292">
        <v>0.3</v>
      </c>
      <c r="W30" s="30">
        <f>S28*V30</f>
        <v>171.9</v>
      </c>
    </row>
    <row r="31" s="279" customFormat="1" ht="21" customHeight="1" spans="1:23">
      <c r="A31" s="5" t="s">
        <v>301</v>
      </c>
      <c r="B31" s="8" t="s">
        <v>290</v>
      </c>
      <c r="C31" s="8">
        <v>3500</v>
      </c>
      <c r="D31" s="291" t="s">
        <v>302</v>
      </c>
      <c r="E31" s="162" t="s">
        <v>300</v>
      </c>
      <c r="F31" s="292">
        <f>0.5*0.15</f>
        <v>0.075</v>
      </c>
      <c r="G31" s="30">
        <f t="shared" si="3"/>
        <v>262.5</v>
      </c>
      <c r="I31" s="298"/>
      <c r="J31" s="298"/>
      <c r="K31" s="298"/>
      <c r="L31" s="298"/>
      <c r="M31" s="298"/>
      <c r="N31" s="298"/>
      <c r="O31" s="299"/>
      <c r="Q31" s="303"/>
      <c r="R31" s="8"/>
      <c r="S31" s="8"/>
      <c r="T31" s="291" t="s">
        <v>295</v>
      </c>
      <c r="U31" s="162" t="s">
        <v>300</v>
      </c>
      <c r="V31" s="292">
        <v>0.198</v>
      </c>
      <c r="W31" s="30">
        <f>S28*V31</f>
        <v>113.454</v>
      </c>
    </row>
    <row r="32" s="279" customFormat="1" ht="21" customHeight="1" spans="1:23">
      <c r="A32" s="5"/>
      <c r="B32" s="8"/>
      <c r="C32" s="8">
        <v>300</v>
      </c>
      <c r="D32" s="291" t="s">
        <v>303</v>
      </c>
      <c r="E32" s="162" t="s">
        <v>300</v>
      </c>
      <c r="F32" s="292">
        <f>0.1*0.6</f>
        <v>0.06</v>
      </c>
      <c r="G32" s="30">
        <f t="shared" si="3"/>
        <v>18</v>
      </c>
      <c r="I32" s="295"/>
      <c r="J32" s="295"/>
      <c r="K32" s="295"/>
      <c r="L32" s="295"/>
      <c r="M32" s="295"/>
      <c r="N32" s="295"/>
      <c r="O32" s="296"/>
      <c r="Q32" s="303"/>
      <c r="R32" s="8"/>
      <c r="S32" s="8"/>
      <c r="T32" s="291" t="s">
        <v>296</v>
      </c>
      <c r="U32" s="162" t="s">
        <v>305</v>
      </c>
      <c r="V32" s="292">
        <v>2.76</v>
      </c>
      <c r="W32" s="30">
        <f>S28*V32</f>
        <v>1581.48</v>
      </c>
    </row>
    <row r="33" s="279" customFormat="1" ht="21" customHeight="1" spans="1:23">
      <c r="A33" s="11"/>
      <c r="B33" s="12"/>
      <c r="C33" s="12">
        <v>30</v>
      </c>
      <c r="D33" s="174" t="s">
        <v>304</v>
      </c>
      <c r="E33" s="165" t="s">
        <v>305</v>
      </c>
      <c r="F33" s="294">
        <f>0.3*0.2</f>
        <v>0.06</v>
      </c>
      <c r="G33" s="32">
        <f t="shared" si="3"/>
        <v>1.8</v>
      </c>
      <c r="I33" s="295"/>
      <c r="J33" s="295"/>
      <c r="K33" s="295"/>
      <c r="L33" s="295"/>
      <c r="M33" s="295"/>
      <c r="N33" s="295"/>
      <c r="O33" s="296"/>
      <c r="Q33" s="303"/>
      <c r="R33" s="8"/>
      <c r="S33" s="8"/>
      <c r="T33" s="291" t="s">
        <v>310</v>
      </c>
      <c r="U33" s="162" t="s">
        <v>300</v>
      </c>
      <c r="V33" s="292">
        <v>0.11</v>
      </c>
      <c r="W33" s="30">
        <f>S28*V33</f>
        <v>63.03</v>
      </c>
    </row>
    <row r="34" s="279" customFormat="1" ht="21" customHeight="1" spans="4:23">
      <c r="D34" s="295"/>
      <c r="E34" s="295"/>
      <c r="F34" s="295"/>
      <c r="G34" s="296"/>
      <c r="I34" s="295"/>
      <c r="J34" s="295"/>
      <c r="K34" s="295"/>
      <c r="L34" s="295"/>
      <c r="M34" s="295"/>
      <c r="N34" s="295"/>
      <c r="O34" s="296"/>
      <c r="Q34" s="304"/>
      <c r="R34" s="8"/>
      <c r="S34" s="8"/>
      <c r="T34" s="291" t="s">
        <v>298</v>
      </c>
      <c r="U34" s="162" t="s">
        <v>305</v>
      </c>
      <c r="V34" s="292">
        <v>0.0498</v>
      </c>
      <c r="W34" s="30">
        <f>S28*V34</f>
        <v>28.5354</v>
      </c>
    </row>
    <row r="35" s="279" customFormat="1" ht="21" customHeight="1" spans="1:23">
      <c r="A35" s="295"/>
      <c r="B35" s="295"/>
      <c r="C35" s="295"/>
      <c r="D35" s="295"/>
      <c r="E35" s="295"/>
      <c r="F35" s="295"/>
      <c r="G35" s="296"/>
      <c r="I35" s="295"/>
      <c r="J35" s="295"/>
      <c r="K35" s="295"/>
      <c r="L35" s="295"/>
      <c r="M35" s="295"/>
      <c r="N35" s="295"/>
      <c r="O35" s="296"/>
      <c r="Q35" s="5" t="s">
        <v>301</v>
      </c>
      <c r="R35" s="8" t="s">
        <v>290</v>
      </c>
      <c r="S35" s="8">
        <v>1000</v>
      </c>
      <c r="T35" s="291" t="s">
        <v>302</v>
      </c>
      <c r="U35" s="162" t="s">
        <v>300</v>
      </c>
      <c r="V35" s="292">
        <f>0.5*0.15</f>
        <v>0.075</v>
      </c>
      <c r="W35" s="30">
        <f t="shared" ref="W35:W37" si="4">S35*V35</f>
        <v>75</v>
      </c>
    </row>
    <row r="36" s="279" customFormat="1" ht="21" customHeight="1" spans="1:23">
      <c r="A36" s="295"/>
      <c r="B36" s="295"/>
      <c r="C36" s="295"/>
      <c r="D36" s="295"/>
      <c r="E36" s="295"/>
      <c r="F36" s="295"/>
      <c r="G36" s="296"/>
      <c r="I36" s="295"/>
      <c r="J36" s="295"/>
      <c r="K36" s="295"/>
      <c r="L36" s="295"/>
      <c r="M36" s="295"/>
      <c r="N36" s="295"/>
      <c r="O36" s="296"/>
      <c r="Q36" s="5"/>
      <c r="R36" s="8"/>
      <c r="S36" s="8">
        <v>300</v>
      </c>
      <c r="T36" s="291" t="s">
        <v>303</v>
      </c>
      <c r="U36" s="162" t="s">
        <v>300</v>
      </c>
      <c r="V36" s="292">
        <f>0.1*0.6</f>
        <v>0.06</v>
      </c>
      <c r="W36" s="30">
        <f t="shared" si="4"/>
        <v>18</v>
      </c>
    </row>
    <row r="37" s="279" customFormat="1" ht="22" customHeight="1" spans="1:23">
      <c r="A37" s="295"/>
      <c r="B37" s="295"/>
      <c r="C37" s="295"/>
      <c r="D37" s="295"/>
      <c r="E37" s="295"/>
      <c r="F37" s="295"/>
      <c r="G37" s="296"/>
      <c r="I37" s="295"/>
      <c r="J37" s="295"/>
      <c r="K37" s="295"/>
      <c r="L37" s="295"/>
      <c r="M37" s="295"/>
      <c r="N37" s="295"/>
      <c r="O37" s="296"/>
      <c r="Q37" s="5"/>
      <c r="R37" s="8"/>
      <c r="S37" s="8">
        <v>30</v>
      </c>
      <c r="T37" s="291" t="s">
        <v>304</v>
      </c>
      <c r="U37" s="162" t="s">
        <v>305</v>
      </c>
      <c r="V37" s="292">
        <f>0.3*0.2</f>
        <v>0.06</v>
      </c>
      <c r="W37" s="30">
        <f t="shared" si="4"/>
        <v>1.8</v>
      </c>
    </row>
    <row r="38" s="279" customFormat="1" ht="25" customHeight="1" spans="1:23">
      <c r="A38" s="295"/>
      <c r="B38" s="295"/>
      <c r="C38" s="295"/>
      <c r="D38" s="295"/>
      <c r="E38" s="295"/>
      <c r="F38" s="295"/>
      <c r="G38" s="296"/>
      <c r="I38" s="295"/>
      <c r="J38" s="295"/>
      <c r="K38" s="295"/>
      <c r="L38" s="295"/>
      <c r="M38" s="295"/>
      <c r="N38" s="295"/>
      <c r="O38" s="296"/>
      <c r="Q38" s="300" t="s">
        <v>323</v>
      </c>
      <c r="R38" s="301"/>
      <c r="S38" s="301"/>
      <c r="T38" s="301"/>
      <c r="U38" s="301"/>
      <c r="V38" s="301"/>
      <c r="W38" s="302"/>
    </row>
    <row r="39" s="279" customFormat="1" ht="21" customHeight="1" spans="1:23">
      <c r="A39" s="295"/>
      <c r="B39" s="295"/>
      <c r="C39" s="295"/>
      <c r="D39" s="295"/>
      <c r="E39" s="295"/>
      <c r="F39" s="295"/>
      <c r="G39" s="296"/>
      <c r="I39" s="295"/>
      <c r="J39" s="295"/>
      <c r="K39" s="295"/>
      <c r="L39" s="295"/>
      <c r="M39" s="295"/>
      <c r="N39" s="295"/>
      <c r="O39" s="296"/>
      <c r="Q39" s="281" t="s">
        <v>209</v>
      </c>
      <c r="R39" s="281"/>
      <c r="S39" s="281"/>
      <c r="T39" s="281"/>
      <c r="U39" s="281"/>
      <c r="V39" s="281"/>
      <c r="W39" s="282"/>
    </row>
    <row r="40" s="279" customFormat="1" ht="21" customHeight="1" spans="1:23">
      <c r="A40" s="295"/>
      <c r="B40" s="295"/>
      <c r="C40" s="295"/>
      <c r="D40" s="295"/>
      <c r="E40" s="295"/>
      <c r="F40" s="295"/>
      <c r="G40" s="296"/>
      <c r="I40" s="295"/>
      <c r="J40" s="295"/>
      <c r="K40" s="295"/>
      <c r="L40" s="295"/>
      <c r="M40" s="295"/>
      <c r="N40" s="295"/>
      <c r="O40" s="296"/>
      <c r="Q40" s="5" t="s">
        <v>324</v>
      </c>
      <c r="R40" s="8" t="s">
        <v>325</v>
      </c>
      <c r="S40" s="8">
        <v>202</v>
      </c>
      <c r="T40" s="291" t="s">
        <v>296</v>
      </c>
      <c r="U40" s="162" t="s">
        <v>305</v>
      </c>
      <c r="V40" s="292">
        <v>0.328</v>
      </c>
      <c r="W40" s="30">
        <f>S40*V40</f>
        <v>66.256</v>
      </c>
    </row>
    <row r="41" s="156" customFormat="1" ht="24" customHeight="1" spans="1:23">
      <c r="A41" s="295"/>
      <c r="B41" s="295"/>
      <c r="C41" s="295"/>
      <c r="D41" s="295"/>
      <c r="E41" s="295"/>
      <c r="F41" s="295"/>
      <c r="G41" s="296"/>
      <c r="I41" s="295"/>
      <c r="J41" s="295"/>
      <c r="K41" s="295"/>
      <c r="L41" s="295"/>
      <c r="M41" s="295"/>
      <c r="N41" s="295"/>
      <c r="O41" s="296"/>
      <c r="Q41" s="5"/>
      <c r="R41" s="8"/>
      <c r="S41" s="8"/>
      <c r="T41" s="8" t="s">
        <v>326</v>
      </c>
      <c r="U41" s="272" t="s">
        <v>327</v>
      </c>
      <c r="V41" s="292">
        <v>0.00425486</v>
      </c>
      <c r="W41" s="30">
        <f>S40*V41</f>
        <v>0.85948172</v>
      </c>
    </row>
    <row r="42" s="156" customFormat="1" ht="21" customHeight="1" spans="1:23">
      <c r="A42" s="295"/>
      <c r="B42" s="295"/>
      <c r="C42" s="295"/>
      <c r="D42" s="295"/>
      <c r="E42" s="295"/>
      <c r="F42" s="295"/>
      <c r="G42" s="296"/>
      <c r="I42" s="295"/>
      <c r="J42" s="295"/>
      <c r="K42" s="295"/>
      <c r="L42" s="295"/>
      <c r="M42" s="295"/>
      <c r="N42" s="295"/>
      <c r="O42" s="295"/>
      <c r="Q42" s="5"/>
      <c r="R42" s="8"/>
      <c r="S42" s="8"/>
      <c r="T42" s="272" t="s">
        <v>328</v>
      </c>
      <c r="U42" s="162" t="s">
        <v>300</v>
      </c>
      <c r="V42" s="292">
        <v>0.0624</v>
      </c>
      <c r="W42" s="30">
        <f>S40*V42</f>
        <v>12.6048</v>
      </c>
    </row>
    <row r="43" s="156" customFormat="1" ht="21" customHeight="1" spans="1:23">
      <c r="A43" s="295"/>
      <c r="B43" s="295"/>
      <c r="C43" s="295"/>
      <c r="D43" s="295"/>
      <c r="E43" s="295"/>
      <c r="F43" s="295"/>
      <c r="G43" s="296"/>
      <c r="I43" s="295"/>
      <c r="J43" s="295"/>
      <c r="K43" s="295"/>
      <c r="L43" s="295"/>
      <c r="M43" s="295"/>
      <c r="N43" s="295"/>
      <c r="O43" s="295"/>
      <c r="Q43" s="5" t="s">
        <v>329</v>
      </c>
      <c r="R43" s="8" t="s">
        <v>325</v>
      </c>
      <c r="S43" s="8">
        <v>6</v>
      </c>
      <c r="T43" s="291" t="s">
        <v>296</v>
      </c>
      <c r="U43" s="162" t="s">
        <v>305</v>
      </c>
      <c r="V43" s="292">
        <v>0.44</v>
      </c>
      <c r="W43" s="30">
        <f>V43*S43</f>
        <v>2.64</v>
      </c>
    </row>
    <row r="44" s="156" customFormat="1" ht="21" customHeight="1" spans="1:31">
      <c r="A44" s="295"/>
      <c r="B44" s="295"/>
      <c r="C44" s="295"/>
      <c r="D44" s="295"/>
      <c r="E44" s="295"/>
      <c r="F44" s="295"/>
      <c r="G44" s="296"/>
      <c r="I44" s="295"/>
      <c r="J44" s="295"/>
      <c r="K44" s="295"/>
      <c r="L44" s="295"/>
      <c r="M44" s="295"/>
      <c r="N44" s="295"/>
      <c r="O44" s="295"/>
      <c r="Q44" s="5"/>
      <c r="R44" s="8"/>
      <c r="S44" s="8"/>
      <c r="T44" s="8" t="s">
        <v>326</v>
      </c>
      <c r="U44" s="272" t="s">
        <v>327</v>
      </c>
      <c r="V44" s="292">
        <v>0.00500513</v>
      </c>
      <c r="W44" s="30">
        <f>V44*S43</f>
        <v>0.03003078</v>
      </c>
      <c r="Y44" s="295"/>
      <c r="Z44" s="295"/>
      <c r="AA44" s="295"/>
      <c r="AB44" s="295"/>
      <c r="AC44" s="295"/>
      <c r="AD44" s="295"/>
      <c r="AE44" s="296"/>
    </row>
    <row r="45" s="156" customFormat="1" ht="21" customHeight="1" spans="1:31">
      <c r="A45" s="295"/>
      <c r="B45" s="295"/>
      <c r="C45" s="295"/>
      <c r="D45" s="295"/>
      <c r="E45" s="295"/>
      <c r="F45" s="295"/>
      <c r="G45" s="296"/>
      <c r="I45" s="295"/>
      <c r="J45" s="295"/>
      <c r="K45" s="295"/>
      <c r="L45" s="295"/>
      <c r="M45" s="295"/>
      <c r="N45" s="295"/>
      <c r="O45" s="295"/>
      <c r="Q45" s="5"/>
      <c r="R45" s="8"/>
      <c r="S45" s="8"/>
      <c r="T45" s="272" t="s">
        <v>328</v>
      </c>
      <c r="U45" s="162" t="s">
        <v>300</v>
      </c>
      <c r="V45" s="292">
        <v>0.096</v>
      </c>
      <c r="W45" s="30">
        <f>V45*S43</f>
        <v>0.576</v>
      </c>
      <c r="Y45" s="295"/>
      <c r="Z45" s="295"/>
      <c r="AA45" s="295"/>
      <c r="AB45" s="295"/>
      <c r="AC45" s="295"/>
      <c r="AD45" s="295"/>
      <c r="AE45" s="296"/>
    </row>
    <row r="46" s="156" customFormat="1" ht="21" customHeight="1" spans="1:31">
      <c r="A46" s="295"/>
      <c r="B46" s="295"/>
      <c r="C46" s="295"/>
      <c r="D46" s="295"/>
      <c r="E46" s="295"/>
      <c r="F46" s="295"/>
      <c r="G46" s="296"/>
      <c r="I46" s="295"/>
      <c r="J46" s="295"/>
      <c r="K46" s="295"/>
      <c r="L46" s="295"/>
      <c r="M46" s="295"/>
      <c r="N46" s="295"/>
      <c r="O46" s="295"/>
      <c r="Q46" s="5" t="s">
        <v>330</v>
      </c>
      <c r="R46" s="8" t="s">
        <v>325</v>
      </c>
      <c r="S46" s="8">
        <v>51</v>
      </c>
      <c r="T46" s="8" t="s">
        <v>296</v>
      </c>
      <c r="U46" s="162" t="s">
        <v>305</v>
      </c>
      <c r="V46" s="292">
        <v>1.35</v>
      </c>
      <c r="W46" s="30">
        <f>V46*S46</f>
        <v>68.85</v>
      </c>
      <c r="Y46" s="295"/>
      <c r="Z46" s="295"/>
      <c r="AA46" s="295"/>
      <c r="AB46" s="295"/>
      <c r="AC46" s="295"/>
      <c r="AD46" s="295"/>
      <c r="AE46" s="296"/>
    </row>
    <row r="47" s="156" customFormat="1" ht="21" customHeight="1" spans="1:31">
      <c r="A47" s="295"/>
      <c r="B47" s="295"/>
      <c r="C47" s="295"/>
      <c r="D47" s="295"/>
      <c r="E47" s="295"/>
      <c r="F47" s="295"/>
      <c r="G47" s="296"/>
      <c r="I47" s="295"/>
      <c r="J47" s="295"/>
      <c r="K47" s="295"/>
      <c r="L47" s="295"/>
      <c r="M47" s="295"/>
      <c r="N47" s="295"/>
      <c r="O47" s="295"/>
      <c r="Q47" s="5"/>
      <c r="R47" s="8"/>
      <c r="S47" s="8"/>
      <c r="T47" s="8" t="s">
        <v>326</v>
      </c>
      <c r="U47" s="272" t="s">
        <v>327</v>
      </c>
      <c r="V47" s="292">
        <v>0.1274688</v>
      </c>
      <c r="W47" s="30">
        <f>V47*S46</f>
        <v>6.5009088</v>
      </c>
      <c r="Y47" s="295"/>
      <c r="Z47" s="295"/>
      <c r="AA47" s="295"/>
      <c r="AB47" s="295"/>
      <c r="AC47" s="295"/>
      <c r="AD47" s="295"/>
      <c r="AE47" s="296"/>
    </row>
    <row r="48" s="156" customFormat="1" ht="21" customHeight="1" spans="1:31">
      <c r="A48" s="295"/>
      <c r="B48" s="295"/>
      <c r="C48" s="295"/>
      <c r="D48" s="295"/>
      <c r="E48" s="295"/>
      <c r="F48" s="295"/>
      <c r="G48" s="296"/>
      <c r="I48" s="295"/>
      <c r="J48" s="295"/>
      <c r="K48" s="295"/>
      <c r="L48" s="295"/>
      <c r="M48" s="295"/>
      <c r="N48" s="295"/>
      <c r="O48" s="295"/>
      <c r="Q48" s="5"/>
      <c r="R48" s="8"/>
      <c r="S48" s="8"/>
      <c r="T48" s="272" t="s">
        <v>256</v>
      </c>
      <c r="U48" s="162" t="s">
        <v>300</v>
      </c>
      <c r="V48" s="292">
        <v>0.675</v>
      </c>
      <c r="W48" s="30">
        <f>V48*S46</f>
        <v>34.425</v>
      </c>
      <c r="Y48" s="295"/>
      <c r="Z48" s="295"/>
      <c r="AA48" s="295"/>
      <c r="AB48" s="295"/>
      <c r="AC48" s="295"/>
      <c r="AD48" s="295"/>
      <c r="AE48" s="296"/>
    </row>
    <row r="49" s="156" customFormat="1" ht="21" customHeight="1" spans="1:31">
      <c r="A49" s="295"/>
      <c r="B49" s="295"/>
      <c r="C49" s="295"/>
      <c r="D49" s="295"/>
      <c r="E49" s="295"/>
      <c r="F49" s="295"/>
      <c r="G49" s="296"/>
      <c r="I49" s="295"/>
      <c r="J49" s="295"/>
      <c r="K49" s="295"/>
      <c r="L49" s="295"/>
      <c r="M49" s="295"/>
      <c r="N49" s="295"/>
      <c r="O49" s="295"/>
      <c r="Q49" s="5" t="s">
        <v>331</v>
      </c>
      <c r="R49" s="8" t="s">
        <v>325</v>
      </c>
      <c r="S49" s="8">
        <v>32</v>
      </c>
      <c r="T49" s="8" t="s">
        <v>296</v>
      </c>
      <c r="U49" s="162" t="s">
        <v>305</v>
      </c>
      <c r="V49" s="292">
        <v>1.47</v>
      </c>
      <c r="W49" s="30">
        <f>V49*S49</f>
        <v>47.04</v>
      </c>
      <c r="Y49" s="295"/>
      <c r="Z49" s="295"/>
      <c r="AA49" s="295"/>
      <c r="AB49" s="295"/>
      <c r="AC49" s="295"/>
      <c r="AD49" s="295"/>
      <c r="AE49" s="296"/>
    </row>
    <row r="50" s="156" customFormat="1" ht="21" customHeight="1" spans="1:31">
      <c r="A50" s="295"/>
      <c r="B50" s="295"/>
      <c r="C50" s="295"/>
      <c r="D50" s="295"/>
      <c r="E50" s="295"/>
      <c r="F50" s="295"/>
      <c r="G50" s="296"/>
      <c r="I50" s="295"/>
      <c r="J50" s="295"/>
      <c r="K50" s="295"/>
      <c r="L50" s="295"/>
      <c r="M50" s="295"/>
      <c r="N50" s="295"/>
      <c r="O50" s="295"/>
      <c r="Q50" s="5"/>
      <c r="R50" s="8"/>
      <c r="S50" s="8"/>
      <c r="T50" s="8" t="s">
        <v>326</v>
      </c>
      <c r="U50" s="272" t="s">
        <v>327</v>
      </c>
      <c r="V50" s="292">
        <v>0.158704</v>
      </c>
      <c r="W50" s="30">
        <f>V50*S49</f>
        <v>5.078528</v>
      </c>
      <c r="Y50" s="124"/>
      <c r="Z50" s="124"/>
      <c r="AA50" s="124"/>
      <c r="AB50" s="124"/>
      <c r="AC50" s="124"/>
      <c r="AD50" s="124"/>
      <c r="AE50" s="280"/>
    </row>
    <row r="51" s="156" customFormat="1" ht="21" customHeight="1" spans="1:31">
      <c r="A51" s="295"/>
      <c r="B51" s="295"/>
      <c r="C51" s="295"/>
      <c r="D51" s="295"/>
      <c r="E51" s="295"/>
      <c r="F51" s="295"/>
      <c r="G51" s="296"/>
      <c r="I51" s="295"/>
      <c r="J51" s="295"/>
      <c r="K51" s="295"/>
      <c r="L51" s="295"/>
      <c r="M51" s="295"/>
      <c r="N51" s="295"/>
      <c r="O51" s="295"/>
      <c r="Q51" s="5"/>
      <c r="R51" s="272"/>
      <c r="S51" s="272"/>
      <c r="T51" s="272" t="s">
        <v>256</v>
      </c>
      <c r="U51" s="162" t="s">
        <v>300</v>
      </c>
      <c r="V51" s="292">
        <v>0.855</v>
      </c>
      <c r="W51" s="30">
        <f>V51*S49</f>
        <v>27.36</v>
      </c>
      <c r="Y51" s="124"/>
      <c r="Z51" s="124"/>
      <c r="AA51" s="124"/>
      <c r="AB51" s="124"/>
      <c r="AC51" s="124"/>
      <c r="AD51" s="124"/>
      <c r="AE51" s="280"/>
    </row>
    <row r="52" s="156" customFormat="1" ht="21" customHeight="1" spans="1:31">
      <c r="A52" s="295"/>
      <c r="B52" s="295"/>
      <c r="C52" s="295"/>
      <c r="D52" s="295"/>
      <c r="E52" s="295"/>
      <c r="F52" s="295"/>
      <c r="G52" s="296"/>
      <c r="I52" s="295"/>
      <c r="J52" s="295"/>
      <c r="K52" s="295"/>
      <c r="L52" s="295"/>
      <c r="M52" s="295"/>
      <c r="N52" s="295"/>
      <c r="O52" s="295"/>
      <c r="Q52" s="5" t="s">
        <v>218</v>
      </c>
      <c r="R52" s="8" t="s">
        <v>332</v>
      </c>
      <c r="S52" s="8">
        <v>28</v>
      </c>
      <c r="T52" s="8"/>
      <c r="U52" s="162"/>
      <c r="V52" s="292"/>
      <c r="W52" s="30"/>
      <c r="Y52" s="124"/>
      <c r="Z52" s="124"/>
      <c r="AA52" s="124"/>
      <c r="AB52" s="124"/>
      <c r="AC52" s="124"/>
      <c r="AD52" s="124"/>
      <c r="AE52" s="280"/>
    </row>
    <row r="53" s="156" customFormat="1" ht="21" customHeight="1" spans="1:31">
      <c r="A53" s="295"/>
      <c r="B53" s="295"/>
      <c r="C53" s="295"/>
      <c r="D53" s="295"/>
      <c r="E53" s="295"/>
      <c r="F53" s="295"/>
      <c r="G53" s="296"/>
      <c r="I53" s="295"/>
      <c r="J53" s="295"/>
      <c r="K53" s="295"/>
      <c r="L53" s="295"/>
      <c r="M53" s="295"/>
      <c r="N53" s="295"/>
      <c r="O53" s="295"/>
      <c r="Q53" s="5" t="s">
        <v>216</v>
      </c>
      <c r="R53" s="8" t="s">
        <v>333</v>
      </c>
      <c r="S53" s="8">
        <v>317</v>
      </c>
      <c r="T53" s="8"/>
      <c r="U53" s="305"/>
      <c r="V53" s="292"/>
      <c r="W53" s="30"/>
      <c r="Y53" s="124"/>
      <c r="Z53" s="124"/>
      <c r="AA53" s="124"/>
      <c r="AB53" s="124"/>
      <c r="AC53" s="124"/>
      <c r="AD53" s="124"/>
      <c r="AE53" s="280"/>
    </row>
    <row r="54" s="156" customFormat="1" ht="21" customHeight="1" spans="1:31">
      <c r="A54" s="295"/>
      <c r="B54" s="295"/>
      <c r="C54" s="295"/>
      <c r="D54" s="295"/>
      <c r="E54" s="295"/>
      <c r="F54" s="295"/>
      <c r="G54" s="296"/>
      <c r="I54" s="295"/>
      <c r="J54" s="295"/>
      <c r="K54" s="295"/>
      <c r="L54" s="295"/>
      <c r="M54" s="295"/>
      <c r="N54" s="295"/>
      <c r="O54" s="295"/>
      <c r="Q54" s="16" t="s">
        <v>220</v>
      </c>
      <c r="R54" s="17" t="s">
        <v>333</v>
      </c>
      <c r="S54" s="17">
        <v>28</v>
      </c>
      <c r="T54" s="306"/>
      <c r="U54" s="307"/>
      <c r="V54" s="308"/>
      <c r="W54" s="286"/>
      <c r="Y54" s="124"/>
      <c r="Z54" s="124"/>
      <c r="AA54" s="124"/>
      <c r="AB54" s="124"/>
      <c r="AC54" s="124"/>
      <c r="AD54" s="124"/>
      <c r="AE54" s="280"/>
    </row>
    <row r="55" s="156" customFormat="1" ht="21" customHeight="1" spans="1:31">
      <c r="A55" s="295"/>
      <c r="B55" s="295"/>
      <c r="C55" s="295"/>
      <c r="D55" s="295"/>
      <c r="E55" s="295"/>
      <c r="F55" s="295"/>
      <c r="G55" s="296"/>
      <c r="I55" s="295"/>
      <c r="J55" s="295"/>
      <c r="K55" s="295"/>
      <c r="L55" s="295"/>
      <c r="M55" s="295"/>
      <c r="N55" s="295"/>
      <c r="O55" s="295"/>
      <c r="Q55" s="309" t="s">
        <v>261</v>
      </c>
      <c r="R55" s="310"/>
      <c r="S55" s="310"/>
      <c r="T55" s="310"/>
      <c r="U55" s="310"/>
      <c r="V55" s="310"/>
      <c r="W55" s="311"/>
      <c r="Y55" s="124"/>
      <c r="Z55" s="124"/>
      <c r="AA55" s="124"/>
      <c r="AB55" s="124"/>
      <c r="AC55" s="124"/>
      <c r="AD55" s="124"/>
      <c r="AE55" s="280"/>
    </row>
    <row r="56" s="156" customFormat="1" ht="21" customHeight="1" spans="1:31">
      <c r="A56" s="295"/>
      <c r="B56" s="295"/>
      <c r="C56" s="295"/>
      <c r="D56" s="295"/>
      <c r="E56" s="295"/>
      <c r="F56" s="295"/>
      <c r="G56" s="296"/>
      <c r="I56" s="295"/>
      <c r="J56" s="295"/>
      <c r="K56" s="295"/>
      <c r="L56" s="295"/>
      <c r="M56" s="295"/>
      <c r="N56" s="295"/>
      <c r="O56" s="295"/>
      <c r="Q56" s="124"/>
      <c r="R56" s="124"/>
      <c r="S56" s="124"/>
      <c r="T56" s="124"/>
      <c r="U56" s="124"/>
      <c r="V56" s="124"/>
      <c r="W56" s="280"/>
      <c r="Y56" s="124"/>
      <c r="Z56" s="124"/>
      <c r="AA56" s="124"/>
      <c r="AB56" s="124"/>
      <c r="AC56" s="124"/>
      <c r="AD56" s="124"/>
      <c r="AE56" s="280"/>
    </row>
    <row r="57" s="156" customFormat="1" ht="21" customHeight="1" spans="1:31">
      <c r="A57" s="295"/>
      <c r="B57" s="295"/>
      <c r="C57" s="295"/>
      <c r="D57" s="295"/>
      <c r="E57" s="295"/>
      <c r="F57" s="295"/>
      <c r="G57" s="296"/>
      <c r="I57" s="295"/>
      <c r="J57" s="295"/>
      <c r="K57" s="295"/>
      <c r="L57" s="295"/>
      <c r="M57" s="295"/>
      <c r="N57" s="295"/>
      <c r="O57" s="296"/>
      <c r="Q57" s="124"/>
      <c r="R57" s="124"/>
      <c r="S57" s="124"/>
      <c r="T57" s="124"/>
      <c r="U57" s="124"/>
      <c r="V57" s="124"/>
      <c r="W57" s="280"/>
      <c r="Y57" s="124"/>
      <c r="Z57" s="124"/>
      <c r="AA57" s="124"/>
      <c r="AB57" s="124"/>
      <c r="AC57" s="124"/>
      <c r="AD57" s="124"/>
      <c r="AE57" s="280"/>
    </row>
    <row r="58" s="156" customFormat="1" ht="21" customHeight="1" spans="1:31">
      <c r="A58" s="295"/>
      <c r="B58" s="295"/>
      <c r="C58" s="295"/>
      <c r="D58" s="295"/>
      <c r="E58" s="295"/>
      <c r="F58" s="295"/>
      <c r="G58" s="296"/>
      <c r="I58" s="295"/>
      <c r="J58" s="295"/>
      <c r="K58" s="295"/>
      <c r="L58" s="295"/>
      <c r="M58" s="295"/>
      <c r="N58" s="295"/>
      <c r="O58" s="296"/>
      <c r="P58" s="295"/>
      <c r="Q58" s="124"/>
      <c r="R58" s="124"/>
      <c r="S58" s="124"/>
      <c r="T58" s="124"/>
      <c r="U58" s="124"/>
      <c r="V58" s="124"/>
      <c r="W58" s="280"/>
      <c r="Y58" s="124"/>
      <c r="Z58" s="124"/>
      <c r="AA58" s="124"/>
      <c r="AB58" s="124"/>
      <c r="AC58" s="124"/>
      <c r="AD58" s="124"/>
      <c r="AE58" s="280"/>
    </row>
    <row r="59" s="156" customFormat="1" ht="21" customHeight="1" spans="1:31">
      <c r="A59" s="295"/>
      <c r="B59" s="295"/>
      <c r="C59" s="295"/>
      <c r="D59" s="295"/>
      <c r="E59" s="295"/>
      <c r="F59" s="295"/>
      <c r="G59" s="296"/>
      <c r="I59" s="295"/>
      <c r="J59" s="295"/>
      <c r="K59" s="295"/>
      <c r="L59" s="295"/>
      <c r="M59" s="295"/>
      <c r="N59" s="295"/>
      <c r="O59" s="296"/>
      <c r="P59" s="295"/>
      <c r="Q59" s="124"/>
      <c r="R59" s="124"/>
      <c r="S59" s="124"/>
      <c r="T59" s="124"/>
      <c r="U59" s="124"/>
      <c r="V59" s="124"/>
      <c r="W59" s="280"/>
      <c r="Y59" s="124"/>
      <c r="Z59" s="124"/>
      <c r="AA59" s="124"/>
      <c r="AB59" s="124"/>
      <c r="AC59" s="124"/>
      <c r="AD59" s="124"/>
      <c r="AE59" s="280"/>
    </row>
    <row r="60" s="156" customFormat="1" ht="21" customHeight="1" spans="1:31">
      <c r="A60" s="295"/>
      <c r="B60" s="295"/>
      <c r="C60" s="295"/>
      <c r="D60" s="295"/>
      <c r="E60" s="295"/>
      <c r="F60" s="295"/>
      <c r="G60" s="296"/>
      <c r="I60" s="295"/>
      <c r="J60" s="295"/>
      <c r="K60" s="295"/>
      <c r="L60" s="295"/>
      <c r="M60" s="295"/>
      <c r="N60" s="295"/>
      <c r="O60" s="296"/>
      <c r="P60" s="295"/>
      <c r="Q60" s="124"/>
      <c r="R60" s="124"/>
      <c r="S60" s="124"/>
      <c r="T60" s="124"/>
      <c r="U60" s="124"/>
      <c r="V60" s="124"/>
      <c r="W60" s="280"/>
      <c r="Y60" s="124"/>
      <c r="Z60" s="124"/>
      <c r="AA60" s="124"/>
      <c r="AB60" s="124"/>
      <c r="AC60" s="124"/>
      <c r="AD60" s="124"/>
      <c r="AE60" s="280"/>
    </row>
    <row r="61" s="156" customFormat="1" ht="21" customHeight="1" spans="1:31">
      <c r="A61" s="295"/>
      <c r="B61" s="295"/>
      <c r="C61" s="295"/>
      <c r="D61" s="295"/>
      <c r="E61" s="295"/>
      <c r="F61" s="295"/>
      <c r="G61" s="296"/>
      <c r="I61" s="295"/>
      <c r="J61" s="295"/>
      <c r="K61" s="295"/>
      <c r="L61" s="295"/>
      <c r="M61" s="295"/>
      <c r="N61" s="295"/>
      <c r="O61" s="296"/>
      <c r="P61" s="295"/>
      <c r="Q61" s="124"/>
      <c r="R61" s="124"/>
      <c r="S61" s="124"/>
      <c r="T61" s="124"/>
      <c r="U61" s="124"/>
      <c r="V61" s="124"/>
      <c r="W61" s="280"/>
      <c r="Y61" s="124"/>
      <c r="Z61" s="124"/>
      <c r="AA61" s="124"/>
      <c r="AB61" s="124"/>
      <c r="AC61" s="124"/>
      <c r="AD61" s="124"/>
      <c r="AE61" s="280"/>
    </row>
    <row r="62" s="156" customFormat="1" ht="21" customHeight="1" spans="1:31">
      <c r="A62" s="295"/>
      <c r="B62" s="295"/>
      <c r="C62" s="295"/>
      <c r="D62" s="295"/>
      <c r="E62" s="295"/>
      <c r="F62" s="295"/>
      <c r="G62" s="296"/>
      <c r="I62" s="295"/>
      <c r="J62" s="295"/>
      <c r="K62" s="295"/>
      <c r="L62" s="295"/>
      <c r="M62" s="295"/>
      <c r="N62" s="295"/>
      <c r="O62" s="296"/>
      <c r="P62" s="295"/>
      <c r="Q62" s="124"/>
      <c r="R62" s="124"/>
      <c r="S62" s="124"/>
      <c r="T62" s="124"/>
      <c r="U62" s="124"/>
      <c r="V62" s="124"/>
      <c r="W62" s="280"/>
      <c r="Y62" s="124"/>
      <c r="Z62" s="124"/>
      <c r="AA62" s="124"/>
      <c r="AB62" s="124"/>
      <c r="AC62" s="124"/>
      <c r="AD62" s="124"/>
      <c r="AE62" s="280"/>
    </row>
    <row r="63" s="156" customFormat="1" ht="21" customHeight="1" spans="1:31">
      <c r="A63" s="295"/>
      <c r="B63" s="295"/>
      <c r="C63" s="295"/>
      <c r="D63" s="295"/>
      <c r="E63" s="295"/>
      <c r="F63" s="295"/>
      <c r="G63" s="296"/>
      <c r="I63" s="295"/>
      <c r="J63" s="295"/>
      <c r="K63" s="295"/>
      <c r="L63" s="295"/>
      <c r="M63" s="295"/>
      <c r="N63" s="295"/>
      <c r="O63" s="296"/>
      <c r="P63" s="295"/>
      <c r="Q63" s="124"/>
      <c r="R63" s="124"/>
      <c r="S63" s="124"/>
      <c r="T63" s="124"/>
      <c r="U63" s="124"/>
      <c r="V63" s="124"/>
      <c r="W63" s="280"/>
      <c r="X63" s="171"/>
      <c r="Y63" s="124"/>
      <c r="Z63" s="124"/>
      <c r="AA63" s="124"/>
      <c r="AB63" s="124"/>
      <c r="AC63" s="124"/>
      <c r="AD63" s="124"/>
      <c r="AE63" s="280"/>
    </row>
    <row r="64" s="156" customFormat="1" ht="21" customHeight="1" spans="1:31">
      <c r="A64" s="295"/>
      <c r="B64" s="295"/>
      <c r="C64" s="295"/>
      <c r="D64" s="295"/>
      <c r="E64" s="295"/>
      <c r="F64" s="295"/>
      <c r="G64" s="296"/>
      <c r="I64" s="295"/>
      <c r="J64" s="295"/>
      <c r="K64" s="295"/>
      <c r="L64" s="295"/>
      <c r="M64" s="295"/>
      <c r="N64" s="295"/>
      <c r="O64" s="296"/>
      <c r="P64" s="295"/>
      <c r="Q64" s="124"/>
      <c r="R64" s="124"/>
      <c r="S64" s="124"/>
      <c r="T64" s="124"/>
      <c r="U64" s="124"/>
      <c r="V64" s="124"/>
      <c r="W64" s="280"/>
      <c r="X64" s="124"/>
      <c r="Y64" s="124"/>
      <c r="Z64" s="124"/>
      <c r="AA64" s="124"/>
      <c r="AB64" s="124"/>
      <c r="AC64" s="124"/>
      <c r="AD64" s="124"/>
      <c r="AE64" s="280"/>
    </row>
    <row r="65" s="156" customFormat="1" ht="21" customHeight="1" spans="1:31">
      <c r="A65" s="295"/>
      <c r="B65" s="295"/>
      <c r="C65" s="295"/>
      <c r="D65" s="295"/>
      <c r="E65" s="295"/>
      <c r="F65" s="295"/>
      <c r="G65" s="296"/>
      <c r="I65" s="295"/>
      <c r="J65" s="295"/>
      <c r="K65" s="295"/>
      <c r="L65" s="295"/>
      <c r="M65" s="295"/>
      <c r="N65" s="295"/>
      <c r="O65" s="296"/>
      <c r="P65" s="295"/>
      <c r="Q65" s="124"/>
      <c r="R65" s="124"/>
      <c r="S65" s="124"/>
      <c r="T65" s="124"/>
      <c r="U65" s="124"/>
      <c r="V65" s="124"/>
      <c r="W65" s="280"/>
      <c r="X65" s="124"/>
      <c r="Y65" s="124"/>
      <c r="Z65" s="124"/>
      <c r="AA65" s="124"/>
      <c r="AB65" s="124"/>
      <c r="AC65" s="124"/>
      <c r="AD65" s="124"/>
      <c r="AE65" s="280"/>
    </row>
    <row r="66" s="156" customFormat="1" ht="25" customHeight="1" spans="1:31">
      <c r="A66" s="295"/>
      <c r="B66" s="295"/>
      <c r="C66" s="295"/>
      <c r="D66" s="295"/>
      <c r="E66" s="295"/>
      <c r="F66" s="295"/>
      <c r="G66" s="296"/>
      <c r="I66" s="295"/>
      <c r="J66" s="295"/>
      <c r="K66" s="295"/>
      <c r="L66" s="295"/>
      <c r="M66" s="295"/>
      <c r="N66" s="295"/>
      <c r="O66" s="296"/>
      <c r="P66" s="295"/>
      <c r="Q66" s="124"/>
      <c r="R66" s="124"/>
      <c r="S66" s="124"/>
      <c r="T66" s="124"/>
      <c r="U66" s="124"/>
      <c r="V66" s="124"/>
      <c r="W66" s="280"/>
      <c r="X66" s="124"/>
      <c r="Y66" s="124"/>
      <c r="Z66" s="124"/>
      <c r="AA66" s="124"/>
      <c r="AB66" s="124"/>
      <c r="AC66" s="124"/>
      <c r="AD66" s="124"/>
      <c r="AE66" s="280"/>
    </row>
    <row r="67" s="156" customFormat="1" ht="20" customHeight="1" spans="1:31">
      <c r="A67" s="295"/>
      <c r="B67" s="295"/>
      <c r="C67" s="295"/>
      <c r="D67" s="295"/>
      <c r="E67" s="295"/>
      <c r="F67" s="295"/>
      <c r="G67" s="296"/>
      <c r="I67" s="295"/>
      <c r="J67" s="295"/>
      <c r="K67" s="295"/>
      <c r="L67" s="295"/>
      <c r="M67" s="295"/>
      <c r="N67" s="295"/>
      <c r="O67" s="296"/>
      <c r="P67" s="295"/>
      <c r="Q67" s="124"/>
      <c r="R67" s="124"/>
      <c r="S67" s="124"/>
      <c r="T67" s="124"/>
      <c r="U67" s="124"/>
      <c r="V67" s="124"/>
      <c r="W67" s="280"/>
      <c r="X67" s="124"/>
      <c r="Y67" s="124"/>
      <c r="Z67" s="124"/>
      <c r="AA67" s="124"/>
      <c r="AB67" s="124"/>
      <c r="AC67" s="124"/>
      <c r="AD67" s="124"/>
      <c r="AE67" s="280"/>
    </row>
    <row r="68" s="156" customFormat="1" ht="20" customHeight="1" spans="1:31">
      <c r="A68" s="295"/>
      <c r="B68" s="295"/>
      <c r="C68" s="295"/>
      <c r="D68" s="295"/>
      <c r="E68" s="295"/>
      <c r="F68" s="295"/>
      <c r="G68" s="296"/>
      <c r="I68" s="295"/>
      <c r="J68" s="295"/>
      <c r="K68" s="295"/>
      <c r="L68" s="295"/>
      <c r="M68" s="295"/>
      <c r="N68" s="295"/>
      <c r="O68" s="296"/>
      <c r="P68" s="295"/>
      <c r="Q68" s="124"/>
      <c r="R68" s="124"/>
      <c r="S68" s="124"/>
      <c r="T68" s="124"/>
      <c r="U68" s="124"/>
      <c r="V68" s="124"/>
      <c r="W68" s="280"/>
      <c r="X68" s="124"/>
      <c r="Y68" s="124"/>
      <c r="Z68" s="124"/>
      <c r="AA68" s="124"/>
      <c r="AB68" s="124"/>
      <c r="AC68" s="124"/>
      <c r="AD68" s="124"/>
      <c r="AE68" s="280"/>
    </row>
    <row r="69" s="156" customFormat="1" ht="20" customHeight="1" spans="1:31">
      <c r="A69" s="295"/>
      <c r="B69" s="295"/>
      <c r="C69" s="295"/>
      <c r="D69" s="295"/>
      <c r="E69" s="295"/>
      <c r="F69" s="295"/>
      <c r="G69" s="296"/>
      <c r="I69" s="295"/>
      <c r="J69" s="295"/>
      <c r="K69" s="295"/>
      <c r="L69" s="295"/>
      <c r="M69" s="295"/>
      <c r="N69" s="295"/>
      <c r="O69" s="296"/>
      <c r="P69" s="295"/>
      <c r="Q69" s="124"/>
      <c r="R69" s="124"/>
      <c r="S69" s="124"/>
      <c r="T69" s="124"/>
      <c r="U69" s="124"/>
      <c r="V69" s="124"/>
      <c r="W69" s="280"/>
      <c r="X69" s="124"/>
      <c r="Y69" s="124"/>
      <c r="Z69" s="124"/>
      <c r="AA69" s="124"/>
      <c r="AB69" s="124"/>
      <c r="AC69" s="124"/>
      <c r="AD69" s="124"/>
      <c r="AE69" s="280"/>
    </row>
    <row r="70" s="156" customFormat="1" ht="20" customHeight="1" spans="1:31">
      <c r="A70" s="295"/>
      <c r="B70" s="295"/>
      <c r="C70" s="295"/>
      <c r="D70" s="295"/>
      <c r="E70" s="295"/>
      <c r="F70" s="295"/>
      <c r="G70" s="296"/>
      <c r="I70" s="295"/>
      <c r="J70" s="295"/>
      <c r="K70" s="295"/>
      <c r="L70" s="295"/>
      <c r="M70" s="295"/>
      <c r="N70" s="295"/>
      <c r="O70" s="296"/>
      <c r="P70" s="295"/>
      <c r="Q70" s="124"/>
      <c r="R70" s="124"/>
      <c r="S70" s="124"/>
      <c r="T70" s="124"/>
      <c r="U70" s="124"/>
      <c r="V70" s="124"/>
      <c r="W70" s="280"/>
      <c r="X70" s="124"/>
      <c r="Y70" s="124"/>
      <c r="Z70" s="124"/>
      <c r="AA70" s="124"/>
      <c r="AB70" s="124"/>
      <c r="AC70" s="124"/>
      <c r="AD70" s="124"/>
      <c r="AE70" s="280"/>
    </row>
    <row r="71" s="156" customFormat="1" ht="20" customHeight="1" spans="1:31">
      <c r="A71" s="295"/>
      <c r="B71" s="295"/>
      <c r="C71" s="295"/>
      <c r="D71" s="295"/>
      <c r="E71" s="295"/>
      <c r="F71" s="295"/>
      <c r="G71" s="296"/>
      <c r="I71" s="295"/>
      <c r="J71" s="295"/>
      <c r="K71" s="295"/>
      <c r="L71" s="295"/>
      <c r="M71" s="295"/>
      <c r="N71" s="295"/>
      <c r="O71" s="296"/>
      <c r="P71" s="295"/>
      <c r="Q71" s="124"/>
      <c r="R71" s="124"/>
      <c r="S71" s="124"/>
      <c r="T71" s="124"/>
      <c r="U71" s="124"/>
      <c r="V71" s="124"/>
      <c r="W71" s="280"/>
      <c r="X71" s="124"/>
      <c r="Y71" s="124"/>
      <c r="Z71" s="124"/>
      <c r="AA71" s="124"/>
      <c r="AB71" s="124"/>
      <c r="AC71" s="124"/>
      <c r="AD71" s="124"/>
      <c r="AE71" s="280"/>
    </row>
    <row r="72" s="156" customFormat="1" ht="20" customHeight="1" spans="1:31">
      <c r="A72" s="295"/>
      <c r="B72" s="295"/>
      <c r="C72" s="295"/>
      <c r="D72" s="295"/>
      <c r="E72" s="295"/>
      <c r="F72" s="295"/>
      <c r="G72" s="296"/>
      <c r="I72" s="295"/>
      <c r="J72" s="295"/>
      <c r="K72" s="295"/>
      <c r="L72" s="295"/>
      <c r="M72" s="295"/>
      <c r="N72" s="295"/>
      <c r="O72" s="296"/>
      <c r="P72" s="295"/>
      <c r="Q72" s="124"/>
      <c r="R72" s="124"/>
      <c r="S72" s="124"/>
      <c r="T72" s="124"/>
      <c r="U72" s="124"/>
      <c r="V72" s="124"/>
      <c r="W72" s="280"/>
      <c r="X72" s="124"/>
      <c r="Y72" s="124"/>
      <c r="Z72" s="124"/>
      <c r="AA72" s="124"/>
      <c r="AB72" s="124"/>
      <c r="AC72" s="124"/>
      <c r="AD72" s="124"/>
      <c r="AE72" s="280"/>
    </row>
    <row r="73" ht="20" customHeight="1" spans="1:15">
      <c r="A73" s="295"/>
      <c r="B73" s="295"/>
      <c r="C73" s="295"/>
      <c r="D73" s="295"/>
      <c r="E73" s="295"/>
      <c r="F73" s="295"/>
      <c r="G73" s="296"/>
      <c r="I73" s="295"/>
      <c r="J73" s="295"/>
      <c r="K73" s="295"/>
      <c r="L73" s="295"/>
      <c r="M73" s="295"/>
      <c r="N73" s="295"/>
      <c r="O73" s="296"/>
    </row>
    <row r="74" ht="20" customHeight="1" spans="1:15">
      <c r="A74" s="295"/>
      <c r="B74" s="295"/>
      <c r="C74" s="295"/>
      <c r="D74" s="295"/>
      <c r="E74" s="295"/>
      <c r="F74" s="295"/>
      <c r="G74" s="296"/>
      <c r="I74" s="295"/>
      <c r="J74" s="295"/>
      <c r="K74" s="295"/>
      <c r="L74" s="295"/>
      <c r="M74" s="295"/>
      <c r="N74" s="295"/>
      <c r="O74" s="296"/>
    </row>
    <row r="75" ht="20" customHeight="1" spans="1:15">
      <c r="A75" s="295"/>
      <c r="B75" s="295"/>
      <c r="C75" s="295"/>
      <c r="D75" s="295"/>
      <c r="E75" s="295"/>
      <c r="F75" s="295"/>
      <c r="G75" s="296"/>
      <c r="I75" s="295"/>
      <c r="J75" s="295"/>
      <c r="K75" s="295"/>
      <c r="L75" s="295"/>
      <c r="M75" s="295"/>
      <c r="N75" s="295"/>
      <c r="O75" s="296"/>
    </row>
    <row r="76" ht="20" customHeight="1" spans="1:15">
      <c r="A76" s="295"/>
      <c r="B76" s="295"/>
      <c r="C76" s="295"/>
      <c r="D76" s="295"/>
      <c r="E76" s="295"/>
      <c r="F76" s="295"/>
      <c r="G76" s="296"/>
      <c r="I76" s="295"/>
      <c r="J76" s="295"/>
      <c r="K76" s="295"/>
      <c r="L76" s="295"/>
      <c r="M76" s="295"/>
      <c r="N76" s="295"/>
      <c r="O76" s="296"/>
    </row>
    <row r="77" ht="20" customHeight="1" spans="1:15">
      <c r="A77" s="295"/>
      <c r="B77" s="295"/>
      <c r="C77" s="295"/>
      <c r="D77" s="295"/>
      <c r="E77" s="295"/>
      <c r="F77" s="295"/>
      <c r="G77" s="296"/>
      <c r="I77" s="295"/>
      <c r="J77" s="295"/>
      <c r="K77" s="295"/>
      <c r="L77" s="295"/>
      <c r="M77" s="295"/>
      <c r="N77" s="295"/>
      <c r="O77" s="296"/>
    </row>
    <row r="78" ht="20" customHeight="1" spans="1:15">
      <c r="A78" s="295"/>
      <c r="B78" s="295"/>
      <c r="C78" s="295"/>
      <c r="D78" s="295"/>
      <c r="E78" s="295"/>
      <c r="F78" s="295"/>
      <c r="G78" s="296"/>
      <c r="I78" s="295"/>
      <c r="J78" s="295"/>
      <c r="K78" s="295"/>
      <c r="L78" s="295"/>
      <c r="M78" s="295"/>
      <c r="N78" s="295"/>
      <c r="O78" s="296"/>
    </row>
    <row r="79" ht="20" customHeight="1" spans="1:15">
      <c r="A79" s="295"/>
      <c r="B79" s="295"/>
      <c r="C79" s="295"/>
      <c r="D79" s="295"/>
      <c r="E79" s="295"/>
      <c r="F79" s="295"/>
      <c r="G79" s="296"/>
      <c r="I79" s="295"/>
      <c r="J79" s="295"/>
      <c r="K79" s="295"/>
      <c r="L79" s="295"/>
      <c r="M79" s="295"/>
      <c r="N79" s="295"/>
      <c r="O79" s="296"/>
    </row>
    <row r="80" ht="20" customHeight="1" spans="9:15">
      <c r="I80" s="295"/>
      <c r="J80" s="295"/>
      <c r="K80" s="295"/>
      <c r="L80" s="295"/>
      <c r="M80" s="295"/>
      <c r="N80" s="295"/>
      <c r="O80" s="296"/>
    </row>
    <row r="81" ht="20" customHeight="1" spans="9:15">
      <c r="I81" s="295"/>
      <c r="J81" s="295"/>
      <c r="K81" s="295"/>
      <c r="L81" s="295"/>
      <c r="M81" s="295"/>
      <c r="N81" s="295"/>
      <c r="O81" s="296"/>
    </row>
    <row r="82" ht="20" customHeight="1" spans="9:15">
      <c r="I82" s="295"/>
      <c r="J82" s="295"/>
      <c r="K82" s="295"/>
      <c r="L82" s="295"/>
      <c r="M82" s="295"/>
      <c r="N82" s="295"/>
      <c r="O82" s="296"/>
    </row>
    <row r="83" ht="20" customHeight="1"/>
    <row r="84" ht="20" customHeight="1"/>
    <row r="85" ht="20" customHeight="1"/>
    <row r="86" ht="20" customHeight="1"/>
    <row r="87" ht="20" customHeight="1"/>
    <row r="88" ht="20" customHeight="1"/>
    <row r="89" ht="20" customHeight="1"/>
    <row r="90" ht="20" customHeight="1"/>
    <row r="91" ht="20" customHeight="1"/>
    <row r="92" ht="20" customHeight="1"/>
    <row r="93" ht="20" customHeight="1"/>
    <row r="94" ht="20" customHeight="1"/>
    <row r="95" ht="20" customHeight="1"/>
    <row r="96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</sheetData>
  <mergeCells count="81">
    <mergeCell ref="A1:G1"/>
    <mergeCell ref="I1:O1"/>
    <mergeCell ref="Q1:W1"/>
    <mergeCell ref="Y1:AE1"/>
    <mergeCell ref="B2:C2"/>
    <mergeCell ref="D2:G2"/>
    <mergeCell ref="J2:K2"/>
    <mergeCell ref="L2:O2"/>
    <mergeCell ref="R2:S2"/>
    <mergeCell ref="T2:W2"/>
    <mergeCell ref="Z2:AA2"/>
    <mergeCell ref="AB2:AE2"/>
    <mergeCell ref="A5:G5"/>
    <mergeCell ref="I5:O5"/>
    <mergeCell ref="Q5:W5"/>
    <mergeCell ref="Y5:AE5"/>
    <mergeCell ref="Q15:W15"/>
    <mergeCell ref="Q21:W21"/>
    <mergeCell ref="Q23:W23"/>
    <mergeCell ref="R24:S24"/>
    <mergeCell ref="T24:W24"/>
    <mergeCell ref="Y24:AE24"/>
    <mergeCell ref="Q27:W27"/>
    <mergeCell ref="Q38:W38"/>
    <mergeCell ref="Q39:W39"/>
    <mergeCell ref="Q55:W55"/>
    <mergeCell ref="A2:A4"/>
    <mergeCell ref="A6:A11"/>
    <mergeCell ref="A12:A18"/>
    <mergeCell ref="A19:A26"/>
    <mergeCell ref="A27:A30"/>
    <mergeCell ref="A31:A33"/>
    <mergeCell ref="B3:B4"/>
    <mergeCell ref="C3:C4"/>
    <mergeCell ref="D3:D4"/>
    <mergeCell ref="E3:E4"/>
    <mergeCell ref="F3:F4"/>
    <mergeCell ref="G3:G4"/>
    <mergeCell ref="I2:I4"/>
    <mergeCell ref="I6:I11"/>
    <mergeCell ref="I12:I18"/>
    <mergeCell ref="I19:I25"/>
    <mergeCell ref="I26:I28"/>
    <mergeCell ref="J3:J4"/>
    <mergeCell ref="K3:K4"/>
    <mergeCell ref="L3:L4"/>
    <mergeCell ref="M3:M4"/>
    <mergeCell ref="N3:N4"/>
    <mergeCell ref="O3:O4"/>
    <mergeCell ref="Q2:Q4"/>
    <mergeCell ref="Q6:Q11"/>
    <mergeCell ref="Q12:Q14"/>
    <mergeCell ref="Q24:Q26"/>
    <mergeCell ref="Q28:Q34"/>
    <mergeCell ref="Q35:Q37"/>
    <mergeCell ref="Q40:Q42"/>
    <mergeCell ref="Q43:Q45"/>
    <mergeCell ref="Q46:Q48"/>
    <mergeCell ref="Q49:Q51"/>
    <mergeCell ref="R3:R4"/>
    <mergeCell ref="R25:R26"/>
    <mergeCell ref="S3:S4"/>
    <mergeCell ref="S25:S26"/>
    <mergeCell ref="T3:T4"/>
    <mergeCell ref="T25:T26"/>
    <mergeCell ref="U3:U4"/>
    <mergeCell ref="U25:U26"/>
    <mergeCell ref="V3:V4"/>
    <mergeCell ref="V25:V26"/>
    <mergeCell ref="W3:W4"/>
    <mergeCell ref="W25:W26"/>
    <mergeCell ref="Y2:Y4"/>
    <mergeCell ref="Y6:Y12"/>
    <mergeCell ref="Y13:Y20"/>
    <mergeCell ref="Y21:Y23"/>
    <mergeCell ref="Z3:Z4"/>
    <mergeCell ref="AA3:AA4"/>
    <mergeCell ref="AB3:AB4"/>
    <mergeCell ref="AC3:AC4"/>
    <mergeCell ref="AD3:AD4"/>
    <mergeCell ref="AE3:AE4"/>
  </mergeCells>
  <pageMargins left="0.944444444444444" right="0.786805555555556" top="0.708333333333333" bottom="0.747916666666667" header="0.236111111111111" footer="0.511805555555556"/>
  <pageSetup paperSize="9" orientation="portrait" horizontalDpi="600"/>
  <headerFooter>
    <oddFooter>&amp;C&amp;10第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W27"/>
  <sheetViews>
    <sheetView workbookViewId="0">
      <selection activeCell="E18" sqref="E18"/>
    </sheetView>
  </sheetViews>
  <sheetFormatPr defaultColWidth="9" defaultRowHeight="11.25"/>
  <cols>
    <col min="1" max="1" width="9" style="48"/>
    <col min="2" max="2" width="5.75" style="48" customWidth="1"/>
    <col min="3" max="3" width="25.125" style="48" customWidth="1"/>
    <col min="4" max="4" width="9.5" style="48" customWidth="1"/>
    <col min="5" max="5" width="11.25" style="48" customWidth="1"/>
    <col min="6" max="6" width="12.625" style="48" customWidth="1"/>
    <col min="7" max="7" width="9" style="48"/>
    <col min="8" max="8" width="5.25" style="48" customWidth="1"/>
    <col min="9" max="9" width="8.375" style="48" customWidth="1"/>
    <col min="10" max="21" width="4.625" style="270" customWidth="1"/>
    <col min="22" max="22" width="4.625" style="48" customWidth="1"/>
    <col min="23" max="16384" width="9" style="48"/>
  </cols>
  <sheetData>
    <row r="2" s="33" customFormat="1" ht="36" customHeight="1" spans="2:22">
      <c r="B2" s="228" t="s">
        <v>334</v>
      </c>
      <c r="C2" s="228"/>
      <c r="D2" s="228"/>
      <c r="E2" s="228"/>
      <c r="F2" s="228"/>
      <c r="H2" s="271" t="s">
        <v>175</v>
      </c>
      <c r="I2" s="274"/>
      <c r="J2" s="272" t="s">
        <v>335</v>
      </c>
      <c r="K2" s="272" t="s">
        <v>336</v>
      </c>
      <c r="L2" s="272" t="s">
        <v>337</v>
      </c>
      <c r="M2" s="272" t="s">
        <v>338</v>
      </c>
      <c r="N2" s="272" t="s">
        <v>339</v>
      </c>
      <c r="O2" s="272" t="s">
        <v>340</v>
      </c>
      <c r="P2" s="272" t="s">
        <v>341</v>
      </c>
      <c r="Q2" s="272" t="s">
        <v>342</v>
      </c>
      <c r="R2" s="272" t="s">
        <v>343</v>
      </c>
      <c r="S2" s="272" t="s">
        <v>344</v>
      </c>
      <c r="T2" s="272" t="s">
        <v>345</v>
      </c>
      <c r="U2" s="272" t="s">
        <v>346</v>
      </c>
      <c r="V2" s="272" t="s">
        <v>347</v>
      </c>
    </row>
    <row r="3" s="33" customFormat="1" ht="36" customHeight="1" spans="2:22">
      <c r="B3" s="272" t="s">
        <v>2</v>
      </c>
      <c r="C3" s="272" t="s">
        <v>348</v>
      </c>
      <c r="D3" s="272" t="s">
        <v>349</v>
      </c>
      <c r="E3" s="272" t="s">
        <v>350</v>
      </c>
      <c r="F3" s="272" t="s">
        <v>351</v>
      </c>
      <c r="H3" s="272" t="s">
        <v>352</v>
      </c>
      <c r="I3" s="272" t="s">
        <v>353</v>
      </c>
      <c r="J3" s="272">
        <v>11.8</v>
      </c>
      <c r="K3" s="272"/>
      <c r="L3" s="272"/>
      <c r="M3" s="272">
        <v>5</v>
      </c>
      <c r="N3" s="272"/>
      <c r="O3" s="272">
        <v>11</v>
      </c>
      <c r="P3" s="272"/>
      <c r="Q3" s="272">
        <v>3.1</v>
      </c>
      <c r="R3" s="272"/>
      <c r="S3" s="272"/>
      <c r="T3" s="272">
        <v>3.4</v>
      </c>
      <c r="U3" s="272">
        <v>1.7</v>
      </c>
      <c r="V3" s="272"/>
    </row>
    <row r="4" ht="30" customHeight="1" spans="2:22">
      <c r="B4" s="272">
        <v>1</v>
      </c>
      <c r="C4" s="272" t="s">
        <v>354</v>
      </c>
      <c r="D4" s="273">
        <v>0.95</v>
      </c>
      <c r="E4" s="272" t="s">
        <v>355</v>
      </c>
      <c r="F4" s="272" t="s">
        <v>356</v>
      </c>
      <c r="H4" s="272" t="s">
        <v>357</v>
      </c>
      <c r="I4" s="272" t="s">
        <v>353</v>
      </c>
      <c r="J4" s="272">
        <v>6.5</v>
      </c>
      <c r="K4" s="272">
        <v>6</v>
      </c>
      <c r="L4" s="272"/>
      <c r="M4" s="272"/>
      <c r="N4" s="272">
        <v>12.6</v>
      </c>
      <c r="O4" s="272">
        <v>5.8</v>
      </c>
      <c r="P4" s="272"/>
      <c r="Q4" s="272">
        <v>2.9</v>
      </c>
      <c r="R4" s="272">
        <v>1.7</v>
      </c>
      <c r="S4" s="272">
        <v>1.7</v>
      </c>
      <c r="T4" s="272"/>
      <c r="U4" s="272"/>
      <c r="V4" s="272"/>
    </row>
    <row r="5" ht="30" customHeight="1" spans="2:22">
      <c r="B5" s="272">
        <v>2</v>
      </c>
      <c r="C5" s="272" t="s">
        <v>358</v>
      </c>
      <c r="D5" s="272" t="s">
        <v>359</v>
      </c>
      <c r="E5" s="272" t="s">
        <v>355</v>
      </c>
      <c r="F5" s="272" t="s">
        <v>360</v>
      </c>
      <c r="H5" s="272" t="s">
        <v>361</v>
      </c>
      <c r="I5" s="272" t="s">
        <v>353</v>
      </c>
      <c r="J5" s="272"/>
      <c r="K5" s="272"/>
      <c r="L5" s="272">
        <v>4.2</v>
      </c>
      <c r="M5" s="272"/>
      <c r="N5" s="272"/>
      <c r="O5" s="272">
        <v>4.5</v>
      </c>
      <c r="P5" s="272">
        <v>5.3</v>
      </c>
      <c r="Q5" s="272">
        <v>6.6</v>
      </c>
      <c r="R5" s="272">
        <v>1.7</v>
      </c>
      <c r="S5" s="272">
        <v>1.7</v>
      </c>
      <c r="T5" s="272">
        <v>2.8</v>
      </c>
      <c r="U5" s="272"/>
      <c r="V5" s="272"/>
    </row>
    <row r="6" ht="30" customHeight="1" spans="2:22">
      <c r="B6" s="272">
        <v>3</v>
      </c>
      <c r="C6" s="272" t="s">
        <v>362</v>
      </c>
      <c r="D6" s="272" t="s">
        <v>359</v>
      </c>
      <c r="E6" s="272" t="s">
        <v>355</v>
      </c>
      <c r="F6" s="272" t="s">
        <v>363</v>
      </c>
      <c r="H6" s="272" t="s">
        <v>364</v>
      </c>
      <c r="I6" s="272" t="s">
        <v>353</v>
      </c>
      <c r="J6" s="272">
        <v>18.3</v>
      </c>
      <c r="K6" s="272">
        <v>6</v>
      </c>
      <c r="L6" s="272">
        <v>4.2</v>
      </c>
      <c r="M6" s="272">
        <v>5</v>
      </c>
      <c r="N6" s="272">
        <v>12.6</v>
      </c>
      <c r="O6" s="272">
        <v>21.3</v>
      </c>
      <c r="P6" s="272">
        <v>5.3</v>
      </c>
      <c r="Q6" s="272">
        <v>12.6</v>
      </c>
      <c r="R6" s="272">
        <v>3.4</v>
      </c>
      <c r="S6" s="272">
        <v>3.4</v>
      </c>
      <c r="T6" s="272">
        <v>6.2</v>
      </c>
      <c r="U6" s="272">
        <v>1.7</v>
      </c>
      <c r="V6" s="272">
        <v>100</v>
      </c>
    </row>
    <row r="7" ht="24" customHeight="1" spans="9:9">
      <c r="I7" s="270"/>
    </row>
    <row r="8" ht="25" customHeight="1"/>
    <row r="9" ht="25" customHeight="1" spans="9:19">
      <c r="I9" s="270">
        <v>4</v>
      </c>
      <c r="J9" s="275">
        <v>12.8</v>
      </c>
      <c r="K9" s="275">
        <v>3186</v>
      </c>
      <c r="L9" s="275">
        <f>J9*K9/100</f>
        <v>407.808</v>
      </c>
      <c r="M9" s="275"/>
      <c r="N9" s="275"/>
      <c r="O9" s="275">
        <v>18.3</v>
      </c>
      <c r="P9" s="275">
        <v>46.14</v>
      </c>
      <c r="Q9" s="275">
        <f>O9*P9/100</f>
        <v>8.44362</v>
      </c>
      <c r="R9" s="275"/>
      <c r="S9" s="275">
        <f>L9-Q9</f>
        <v>399.36438</v>
      </c>
    </row>
    <row r="10" ht="25" customHeight="1" spans="9:19">
      <c r="I10" s="270">
        <v>5</v>
      </c>
      <c r="J10" s="275">
        <v>6.68</v>
      </c>
      <c r="K10" s="275">
        <v>3186</v>
      </c>
      <c r="L10" s="275">
        <f t="shared" ref="L10:L20" si="0">J10*K10/100</f>
        <v>212.8248</v>
      </c>
      <c r="M10" s="275"/>
      <c r="N10" s="275"/>
      <c r="O10" s="275">
        <v>6</v>
      </c>
      <c r="P10" s="275">
        <v>46.14</v>
      </c>
      <c r="Q10" s="275">
        <f t="shared" ref="Q10:Q20" si="1">O10*P10/100</f>
        <v>2.7684</v>
      </c>
      <c r="R10" s="275"/>
      <c r="S10" s="275">
        <f t="shared" ref="S10:S20" si="2">L10-Q10</f>
        <v>210.0564</v>
      </c>
    </row>
    <row r="11" ht="25" customHeight="1" spans="9:19">
      <c r="I11" s="270">
        <v>6</v>
      </c>
      <c r="J11" s="275">
        <v>12.53</v>
      </c>
      <c r="K11" s="275">
        <v>3186</v>
      </c>
      <c r="L11" s="275">
        <f t="shared" si="0"/>
        <v>399.2058</v>
      </c>
      <c r="M11" s="275"/>
      <c r="N11" s="275"/>
      <c r="O11" s="275">
        <v>4.2</v>
      </c>
      <c r="P11" s="275">
        <v>46.14</v>
      </c>
      <c r="Q11" s="275">
        <f t="shared" si="1"/>
        <v>1.93788</v>
      </c>
      <c r="R11" s="275"/>
      <c r="S11" s="275">
        <f t="shared" si="2"/>
        <v>397.26792</v>
      </c>
    </row>
    <row r="12" ht="25" customHeight="1" spans="9:19">
      <c r="I12" s="270">
        <v>7</v>
      </c>
      <c r="J12" s="275">
        <v>16.13</v>
      </c>
      <c r="K12" s="275">
        <v>3186</v>
      </c>
      <c r="L12" s="275">
        <f t="shared" si="0"/>
        <v>513.9018</v>
      </c>
      <c r="M12" s="275"/>
      <c r="N12" s="275"/>
      <c r="O12" s="275">
        <v>5</v>
      </c>
      <c r="P12" s="275">
        <v>46.14</v>
      </c>
      <c r="Q12" s="275">
        <f t="shared" si="1"/>
        <v>2.307</v>
      </c>
      <c r="R12" s="275"/>
      <c r="S12" s="275">
        <f t="shared" si="2"/>
        <v>511.5948</v>
      </c>
    </row>
    <row r="13" ht="25" customHeight="1" spans="9:19">
      <c r="I13" s="270">
        <v>8</v>
      </c>
      <c r="J13" s="275">
        <v>9.56</v>
      </c>
      <c r="K13" s="275">
        <v>3186</v>
      </c>
      <c r="L13" s="275">
        <f t="shared" si="0"/>
        <v>304.5816</v>
      </c>
      <c r="M13" s="275"/>
      <c r="N13" s="275"/>
      <c r="O13" s="275">
        <v>12.6</v>
      </c>
      <c r="P13" s="275">
        <v>46.14</v>
      </c>
      <c r="Q13" s="275">
        <f t="shared" si="1"/>
        <v>5.81364</v>
      </c>
      <c r="R13" s="275"/>
      <c r="S13" s="275">
        <f t="shared" si="2"/>
        <v>298.76796</v>
      </c>
    </row>
    <row r="14" ht="25" customHeight="1" spans="9:23">
      <c r="I14" s="270">
        <v>9</v>
      </c>
      <c r="J14" s="275">
        <v>2.09</v>
      </c>
      <c r="K14" s="275">
        <v>3186</v>
      </c>
      <c r="L14" s="275">
        <f t="shared" si="0"/>
        <v>66.5874</v>
      </c>
      <c r="M14" s="275"/>
      <c r="N14" s="275"/>
      <c r="O14" s="275">
        <v>21.3</v>
      </c>
      <c r="P14" s="275">
        <v>46.14</v>
      </c>
      <c r="Q14" s="275">
        <f t="shared" si="1"/>
        <v>9.82782</v>
      </c>
      <c r="R14" s="275"/>
      <c r="S14" s="275">
        <f t="shared" si="2"/>
        <v>56.75958</v>
      </c>
      <c r="W14" s="48">
        <v>-14.61657</v>
      </c>
    </row>
    <row r="15" ht="25" customHeight="1" spans="9:23">
      <c r="I15" s="270">
        <v>10</v>
      </c>
      <c r="J15" s="275">
        <v>0.83</v>
      </c>
      <c r="K15" s="275">
        <v>3186</v>
      </c>
      <c r="L15" s="275">
        <f t="shared" si="0"/>
        <v>26.4438</v>
      </c>
      <c r="M15" s="275"/>
      <c r="N15" s="275"/>
      <c r="O15" s="275">
        <v>5.3</v>
      </c>
      <c r="P15" s="275">
        <v>46.14</v>
      </c>
      <c r="Q15" s="275">
        <f t="shared" si="1"/>
        <v>2.44542</v>
      </c>
      <c r="R15" s="275"/>
      <c r="S15" s="275">
        <f t="shared" si="2"/>
        <v>23.99838</v>
      </c>
      <c r="W15" s="48">
        <v>-3.08837</v>
      </c>
    </row>
    <row r="16" ht="25" customHeight="1" spans="9:23">
      <c r="I16" s="270">
        <v>11</v>
      </c>
      <c r="J16" s="275">
        <v>1.91</v>
      </c>
      <c r="K16" s="275">
        <v>3186</v>
      </c>
      <c r="L16" s="275">
        <f t="shared" si="0"/>
        <v>60.8526</v>
      </c>
      <c r="M16" s="275"/>
      <c r="N16" s="275"/>
      <c r="O16" s="275">
        <v>12.6</v>
      </c>
      <c r="P16" s="275">
        <v>46.14</v>
      </c>
      <c r="Q16" s="275">
        <f t="shared" si="1"/>
        <v>5.81364</v>
      </c>
      <c r="R16" s="275"/>
      <c r="S16" s="275">
        <f t="shared" si="2"/>
        <v>55.03896</v>
      </c>
      <c r="W16" s="48">
        <v>-7.45404</v>
      </c>
    </row>
    <row r="17" ht="25" customHeight="1" spans="9:19">
      <c r="I17" s="270">
        <v>12</v>
      </c>
      <c r="J17" s="275">
        <v>2.45</v>
      </c>
      <c r="K17" s="275">
        <v>3186</v>
      </c>
      <c r="L17" s="275">
        <f t="shared" si="0"/>
        <v>78.057</v>
      </c>
      <c r="M17" s="275"/>
      <c r="N17" s="275"/>
      <c r="O17" s="275">
        <v>3.4</v>
      </c>
      <c r="P17" s="275">
        <v>46.14</v>
      </c>
      <c r="Q17" s="275">
        <f t="shared" si="1"/>
        <v>1.56876</v>
      </c>
      <c r="R17" s="275"/>
      <c r="S17" s="275">
        <f t="shared" si="2"/>
        <v>76.48824</v>
      </c>
    </row>
    <row r="18" ht="25" customHeight="1" spans="9:19">
      <c r="I18" s="48">
        <v>1</v>
      </c>
      <c r="J18" s="275">
        <v>2.18</v>
      </c>
      <c r="K18" s="275">
        <v>3186</v>
      </c>
      <c r="L18" s="275">
        <f t="shared" si="0"/>
        <v>69.4548</v>
      </c>
      <c r="M18" s="275"/>
      <c r="N18" s="275"/>
      <c r="O18" s="275">
        <v>3.4</v>
      </c>
      <c r="P18" s="275">
        <v>46.14</v>
      </c>
      <c r="Q18" s="275">
        <f t="shared" si="1"/>
        <v>1.56876</v>
      </c>
      <c r="R18" s="275"/>
      <c r="S18" s="275">
        <f t="shared" si="2"/>
        <v>67.88604</v>
      </c>
    </row>
    <row r="19" ht="25" customHeight="1" spans="9:19">
      <c r="I19" s="48">
        <v>2</v>
      </c>
      <c r="J19" s="275">
        <v>10.19</v>
      </c>
      <c r="K19" s="275">
        <v>3186</v>
      </c>
      <c r="L19" s="275">
        <f t="shared" si="0"/>
        <v>324.6534</v>
      </c>
      <c r="M19" s="275"/>
      <c r="N19" s="275"/>
      <c r="O19" s="275">
        <v>6.2</v>
      </c>
      <c r="P19" s="275">
        <v>46.14</v>
      </c>
      <c r="Q19" s="275">
        <f t="shared" si="1"/>
        <v>2.86068</v>
      </c>
      <c r="R19" s="275"/>
      <c r="S19" s="275">
        <f t="shared" si="2"/>
        <v>321.79272</v>
      </c>
    </row>
    <row r="20" ht="25" customHeight="1" spans="9:19">
      <c r="I20" s="48">
        <v>3</v>
      </c>
      <c r="J20" s="275">
        <v>22.61</v>
      </c>
      <c r="K20" s="275">
        <v>3186</v>
      </c>
      <c r="L20" s="275">
        <f t="shared" si="0"/>
        <v>720.3546</v>
      </c>
      <c r="M20" s="275"/>
      <c r="N20" s="275"/>
      <c r="O20" s="275">
        <v>1.7</v>
      </c>
      <c r="P20" s="275">
        <v>46.14</v>
      </c>
      <c r="Q20" s="275">
        <f t="shared" si="1"/>
        <v>0.78438</v>
      </c>
      <c r="R20" s="275"/>
      <c r="S20" s="275">
        <f t="shared" si="2"/>
        <v>719.57022</v>
      </c>
    </row>
    <row r="21" ht="25" customHeight="1" spans="12:23">
      <c r="L21" s="270">
        <f>SUM(L9:L20)</f>
        <v>3184.7256</v>
      </c>
      <c r="Q21" s="270">
        <f>SUM(Q9:Q20)</f>
        <v>46.14</v>
      </c>
      <c r="S21" s="270">
        <f>SUM(S9:S20)</f>
        <v>3138.5856</v>
      </c>
      <c r="T21" s="270">
        <f>SUM(T9:T20)</f>
        <v>0</v>
      </c>
      <c r="U21" s="270">
        <f>SUM(U9:U20)</f>
        <v>0</v>
      </c>
      <c r="V21" s="270">
        <f>SUM(V9:V20)</f>
        <v>0</v>
      </c>
      <c r="W21" s="270">
        <f>SUM(W9:W20)</f>
        <v>-25.15898</v>
      </c>
    </row>
    <row r="26" ht="12"/>
    <row r="27" ht="12" spans="8:19">
      <c r="H27" s="269">
        <v>18.3</v>
      </c>
      <c r="I27" s="276">
        <v>6</v>
      </c>
      <c r="J27" s="276">
        <v>4.2</v>
      </c>
      <c r="K27" s="276">
        <v>5</v>
      </c>
      <c r="L27" s="276">
        <v>12.6</v>
      </c>
      <c r="M27" s="276">
        <v>21.3</v>
      </c>
      <c r="N27" s="276">
        <v>5.3</v>
      </c>
      <c r="O27" s="276">
        <v>12.6</v>
      </c>
      <c r="P27" s="276">
        <v>3.4</v>
      </c>
      <c r="Q27" s="276">
        <v>3.4</v>
      </c>
      <c r="R27" s="276">
        <v>6.2</v>
      </c>
      <c r="S27" s="276">
        <v>1.7</v>
      </c>
    </row>
  </sheetData>
  <mergeCells count="2">
    <mergeCell ref="B2:F2"/>
    <mergeCell ref="H2:I2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H27"/>
  <sheetViews>
    <sheetView workbookViewId="0">
      <selection activeCell="J17" sqref="J17"/>
    </sheetView>
  </sheetViews>
  <sheetFormatPr defaultColWidth="9" defaultRowHeight="11.25" outlineLevelCol="7"/>
  <cols>
    <col min="1" max="1" width="9" style="48"/>
    <col min="2" max="2" width="5.75" style="48" customWidth="1"/>
    <col min="3" max="3" width="22.25" style="48" customWidth="1"/>
    <col min="4" max="8" width="8.625" style="48" customWidth="1"/>
    <col min="9" max="16384" width="9" style="48"/>
  </cols>
  <sheetData>
    <row r="2" s="33" customFormat="1" ht="36" customHeight="1" spans="2:8">
      <c r="B2" s="35" t="s">
        <v>365</v>
      </c>
      <c r="C2" s="266"/>
      <c r="D2" s="266"/>
      <c r="E2" s="266"/>
      <c r="F2" s="266"/>
      <c r="G2" s="266"/>
      <c r="H2" s="266"/>
    </row>
    <row r="3" s="33" customFormat="1" ht="36" customHeight="1" spans="2:8">
      <c r="B3" s="267" t="s">
        <v>2</v>
      </c>
      <c r="C3" s="267" t="s">
        <v>366</v>
      </c>
      <c r="D3" s="268" t="s">
        <v>367</v>
      </c>
      <c r="E3" s="268" t="s">
        <v>368</v>
      </c>
      <c r="F3" s="268" t="s">
        <v>369</v>
      </c>
      <c r="G3" s="268" t="s">
        <v>370</v>
      </c>
      <c r="H3" s="268" t="s">
        <v>371</v>
      </c>
    </row>
    <row r="4" ht="30" customHeight="1" spans="2:8">
      <c r="B4" s="267">
        <v>1</v>
      </c>
      <c r="C4" s="267" t="s">
        <v>372</v>
      </c>
      <c r="D4" s="267">
        <v>1700</v>
      </c>
      <c r="E4" s="267">
        <v>300</v>
      </c>
      <c r="F4" s="267">
        <f>D4*E4/10000</f>
        <v>51</v>
      </c>
      <c r="G4" s="267">
        <f>F4*2</f>
        <v>102</v>
      </c>
      <c r="H4" s="267">
        <f>F4*3</f>
        <v>153</v>
      </c>
    </row>
    <row r="5" ht="30" customHeight="1" spans="2:8">
      <c r="B5" s="267">
        <v>2</v>
      </c>
      <c r="C5" s="267" t="s">
        <v>373</v>
      </c>
      <c r="D5" s="267">
        <v>1700</v>
      </c>
      <c r="E5" s="267">
        <v>300</v>
      </c>
      <c r="F5" s="267">
        <f>D5*E5/10000</f>
        <v>51</v>
      </c>
      <c r="G5" s="267">
        <f>F5*2</f>
        <v>102</v>
      </c>
      <c r="H5" s="267">
        <f>F5*3</f>
        <v>153</v>
      </c>
    </row>
    <row r="6" ht="30" customHeight="1" spans="2:8">
      <c r="B6" s="267">
        <v>3</v>
      </c>
      <c r="C6" s="267" t="s">
        <v>374</v>
      </c>
      <c r="D6" s="267">
        <v>200</v>
      </c>
      <c r="E6" s="267">
        <v>1000</v>
      </c>
      <c r="F6" s="267">
        <f>D6*E6/10000</f>
        <v>20</v>
      </c>
      <c r="G6" s="267">
        <f>F6*2.5</f>
        <v>50</v>
      </c>
      <c r="H6" s="267">
        <f>F6*4</f>
        <v>80</v>
      </c>
    </row>
    <row r="7" ht="33" customHeight="1" spans="2:8">
      <c r="B7" s="267">
        <v>4</v>
      </c>
      <c r="C7" s="267" t="s">
        <v>375</v>
      </c>
      <c r="D7" s="267">
        <f>SUM(D4:D6)</f>
        <v>3600</v>
      </c>
      <c r="E7" s="267">
        <f>SUM(E4:E6)</f>
        <v>1600</v>
      </c>
      <c r="F7" s="267">
        <f>SUM(F4:F6)</f>
        <v>122</v>
      </c>
      <c r="G7" s="267">
        <f>SUM(G4:G6)</f>
        <v>254</v>
      </c>
      <c r="H7" s="267">
        <f>SUM(H4:H6)</f>
        <v>386</v>
      </c>
    </row>
    <row r="8" ht="25" customHeight="1"/>
    <row r="9" ht="25" customHeight="1"/>
    <row r="10" ht="30" customHeight="1" spans="2:8">
      <c r="B10" s="35" t="s">
        <v>376</v>
      </c>
      <c r="C10" s="266"/>
      <c r="D10" s="266"/>
      <c r="E10" s="266"/>
      <c r="F10" s="266"/>
      <c r="G10" s="266"/>
      <c r="H10" s="266"/>
    </row>
    <row r="11" ht="30" customHeight="1" spans="2:8">
      <c r="B11" s="267" t="s">
        <v>2</v>
      </c>
      <c r="C11" s="267" t="s">
        <v>366</v>
      </c>
      <c r="D11" s="268" t="s">
        <v>367</v>
      </c>
      <c r="E11" s="268" t="s">
        <v>368</v>
      </c>
      <c r="F11" s="268" t="s">
        <v>369</v>
      </c>
      <c r="G11" s="268" t="s">
        <v>370</v>
      </c>
      <c r="H11" s="268" t="s">
        <v>371</v>
      </c>
    </row>
    <row r="12" ht="30" customHeight="1" spans="2:8">
      <c r="B12" s="267">
        <v>1</v>
      </c>
      <c r="C12" s="267" t="s">
        <v>372</v>
      </c>
      <c r="D12" s="267">
        <v>1700</v>
      </c>
      <c r="E12" s="267">
        <v>365</v>
      </c>
      <c r="F12" s="267">
        <f t="shared" ref="F12:F14" si="0">D12*E12/10000</f>
        <v>62.05</v>
      </c>
      <c r="G12" s="267">
        <f>F12*2</f>
        <v>124.1</v>
      </c>
      <c r="H12" s="267">
        <f>F12*3</f>
        <v>186.15</v>
      </c>
    </row>
    <row r="13" ht="30" customHeight="1" spans="2:8">
      <c r="B13" s="267">
        <v>2</v>
      </c>
      <c r="C13" s="267" t="s">
        <v>373</v>
      </c>
      <c r="D13" s="267">
        <v>1700</v>
      </c>
      <c r="E13" s="267">
        <v>365</v>
      </c>
      <c r="F13" s="267">
        <f t="shared" si="0"/>
        <v>62.05</v>
      </c>
      <c r="G13" s="267">
        <f>F13*2</f>
        <v>124.1</v>
      </c>
      <c r="H13" s="267">
        <f>F13*3</f>
        <v>186.15</v>
      </c>
    </row>
    <row r="14" ht="30" customHeight="1" spans="2:8">
      <c r="B14" s="267">
        <v>3</v>
      </c>
      <c r="C14" s="267" t="s">
        <v>374</v>
      </c>
      <c r="D14" s="267">
        <v>400</v>
      </c>
      <c r="E14" s="267">
        <v>1000</v>
      </c>
      <c r="F14" s="267">
        <f t="shared" si="0"/>
        <v>40</v>
      </c>
      <c r="G14" s="267">
        <f>F14*2.5</f>
        <v>100</v>
      </c>
      <c r="H14" s="267">
        <f>F14*4</f>
        <v>160</v>
      </c>
    </row>
    <row r="15" ht="30" customHeight="1" spans="2:8">
      <c r="B15" s="267">
        <v>4</v>
      </c>
      <c r="C15" s="267" t="s">
        <v>375</v>
      </c>
      <c r="D15" s="267">
        <f t="shared" ref="D15:H15" si="1">SUM(D12:D14)</f>
        <v>3800</v>
      </c>
      <c r="E15" s="267">
        <f t="shared" si="1"/>
        <v>1730</v>
      </c>
      <c r="F15" s="267">
        <f t="shared" si="1"/>
        <v>164.1</v>
      </c>
      <c r="G15" s="267">
        <f t="shared" si="1"/>
        <v>348.2</v>
      </c>
      <c r="H15" s="267">
        <f t="shared" si="1"/>
        <v>532.3</v>
      </c>
    </row>
    <row r="16" ht="25" customHeight="1"/>
    <row r="17" ht="25" customHeight="1"/>
    <row r="18" ht="25" customHeight="1"/>
    <row r="19" ht="25" customHeight="1"/>
    <row r="20" ht="25" customHeight="1"/>
    <row r="21" ht="25" customHeight="1"/>
    <row r="26" ht="12"/>
    <row r="27" ht="12" spans="8:8">
      <c r="H27" s="269">
        <v>18.3</v>
      </c>
    </row>
  </sheetData>
  <mergeCells count="2">
    <mergeCell ref="B2:H2"/>
    <mergeCell ref="B10:H10"/>
  </mergeCell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G28"/>
  <sheetViews>
    <sheetView workbookViewId="0">
      <selection activeCell="I13" sqref="I13"/>
    </sheetView>
  </sheetViews>
  <sheetFormatPr defaultColWidth="9" defaultRowHeight="11.25" outlineLevelCol="6"/>
  <cols>
    <col min="1" max="1" width="4.375" style="48" customWidth="1"/>
    <col min="2" max="2" width="8.75" style="48" customWidth="1"/>
    <col min="3" max="3" width="16.375" style="48" customWidth="1"/>
    <col min="4" max="4" width="31.25" style="48" customWidth="1"/>
    <col min="5" max="6" width="12.625" style="48" customWidth="1"/>
    <col min="7" max="16384" width="9" style="48"/>
  </cols>
  <sheetData>
    <row r="2" s="33" customFormat="1" ht="38" customHeight="1" spans="2:6">
      <c r="B2" s="228" t="s">
        <v>377</v>
      </c>
      <c r="C2" s="228"/>
      <c r="D2" s="228"/>
      <c r="E2" s="228"/>
      <c r="F2" s="228"/>
    </row>
    <row r="3" s="33" customFormat="1" ht="30" customHeight="1" spans="2:6">
      <c r="B3" s="251" t="s">
        <v>2</v>
      </c>
      <c r="C3" s="252" t="s">
        <v>121</v>
      </c>
      <c r="D3" s="253"/>
      <c r="E3" s="251" t="s">
        <v>378</v>
      </c>
      <c r="F3" s="251" t="s">
        <v>379</v>
      </c>
    </row>
    <row r="4" ht="30" customHeight="1" spans="2:6">
      <c r="B4" s="251" t="s">
        <v>69</v>
      </c>
      <c r="C4" s="251" t="s">
        <v>380</v>
      </c>
      <c r="D4" s="251" t="s">
        <v>381</v>
      </c>
      <c r="E4" s="251">
        <v>38</v>
      </c>
      <c r="F4" s="251">
        <v>30</v>
      </c>
    </row>
    <row r="5" ht="30" customHeight="1" spans="2:6">
      <c r="B5" s="251" t="s">
        <v>71</v>
      </c>
      <c r="C5" s="254" t="s">
        <v>382</v>
      </c>
      <c r="D5" s="251" t="s">
        <v>383</v>
      </c>
      <c r="E5" s="251">
        <v>9.3</v>
      </c>
      <c r="F5" s="255">
        <v>12</v>
      </c>
    </row>
    <row r="6" ht="30" customHeight="1" spans="2:6">
      <c r="B6" s="251"/>
      <c r="C6" s="256"/>
      <c r="D6" s="251" t="s">
        <v>384</v>
      </c>
      <c r="E6" s="251">
        <v>19.9</v>
      </c>
      <c r="F6" s="257"/>
    </row>
    <row r="7" ht="30" customHeight="1" spans="2:6">
      <c r="B7" s="251"/>
      <c r="C7" s="256"/>
      <c r="D7" s="251" t="s">
        <v>385</v>
      </c>
      <c r="E7" s="251">
        <v>12.1</v>
      </c>
      <c r="F7" s="257"/>
    </row>
    <row r="8" ht="30" customHeight="1" spans="2:6">
      <c r="B8" s="251"/>
      <c r="C8" s="258"/>
      <c r="D8" s="251" t="s">
        <v>386</v>
      </c>
      <c r="E8" s="251">
        <v>4.5</v>
      </c>
      <c r="F8" s="259"/>
    </row>
    <row r="9" ht="30" customHeight="1" spans="2:6">
      <c r="B9" s="260" t="s">
        <v>73</v>
      </c>
      <c r="C9" s="261" t="s">
        <v>387</v>
      </c>
      <c r="D9" s="251" t="s">
        <v>388</v>
      </c>
      <c r="E9" s="251">
        <v>45.6</v>
      </c>
      <c r="F9" s="251" t="s">
        <v>389</v>
      </c>
    </row>
    <row r="10" ht="30" customHeight="1" spans="2:6">
      <c r="B10" s="260"/>
      <c r="C10" s="262"/>
      <c r="D10" s="251" t="s">
        <v>390</v>
      </c>
      <c r="E10" s="251">
        <v>115</v>
      </c>
      <c r="F10" s="251" t="s">
        <v>389</v>
      </c>
    </row>
    <row r="11" ht="30" customHeight="1" spans="2:6">
      <c r="B11" s="260"/>
      <c r="C11" s="262"/>
      <c r="D11" s="251" t="s">
        <v>391</v>
      </c>
      <c r="E11" s="251">
        <v>42</v>
      </c>
      <c r="F11" s="251" t="s">
        <v>389</v>
      </c>
    </row>
    <row r="12" ht="30" customHeight="1" spans="2:6">
      <c r="B12" s="260"/>
      <c r="C12" s="263"/>
      <c r="D12" s="251" t="s">
        <v>392</v>
      </c>
      <c r="E12" s="251">
        <v>13</v>
      </c>
      <c r="F12" s="251" t="s">
        <v>393</v>
      </c>
    </row>
    <row r="13" ht="30" customHeight="1" spans="2:7">
      <c r="B13" s="47" t="s">
        <v>394</v>
      </c>
      <c r="C13" s="47"/>
      <c r="D13" s="47"/>
      <c r="E13" s="47"/>
      <c r="F13" s="47"/>
      <c r="G13" s="47"/>
    </row>
    <row r="14" ht="30" customHeight="1" spans="2:6">
      <c r="B14" s="251" t="s">
        <v>2</v>
      </c>
      <c r="C14" s="251" t="s">
        <v>395</v>
      </c>
      <c r="D14" s="251" t="s">
        <v>396</v>
      </c>
      <c r="E14" s="264" t="s">
        <v>397</v>
      </c>
      <c r="F14" s="265"/>
    </row>
    <row r="15" ht="30" customHeight="1" spans="2:6">
      <c r="B15" s="251">
        <v>1</v>
      </c>
      <c r="C15" s="251" t="s">
        <v>398</v>
      </c>
      <c r="D15" s="251" t="s">
        <v>399</v>
      </c>
      <c r="E15" s="264">
        <v>25</v>
      </c>
      <c r="F15" s="265"/>
    </row>
    <row r="16" ht="30" customHeight="1" spans="2:6">
      <c r="B16" s="251">
        <v>2</v>
      </c>
      <c r="C16" s="251" t="s">
        <v>400</v>
      </c>
      <c r="D16" s="251" t="s">
        <v>401</v>
      </c>
      <c r="E16" s="264">
        <v>12</v>
      </c>
      <c r="F16" s="265"/>
    </row>
    <row r="17" ht="39" customHeight="1" spans="2:6">
      <c r="B17" s="251">
        <v>3</v>
      </c>
      <c r="C17" s="251" t="s">
        <v>402</v>
      </c>
      <c r="D17" s="251" t="s">
        <v>401</v>
      </c>
      <c r="E17" s="264">
        <v>12</v>
      </c>
      <c r="F17" s="265"/>
    </row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</sheetData>
  <mergeCells count="11">
    <mergeCell ref="B2:F2"/>
    <mergeCell ref="C3:D3"/>
    <mergeCell ref="E14:F14"/>
    <mergeCell ref="E15:F15"/>
    <mergeCell ref="E16:F16"/>
    <mergeCell ref="E17:F17"/>
    <mergeCell ref="B5:B8"/>
    <mergeCell ref="B9:B12"/>
    <mergeCell ref="C5:C8"/>
    <mergeCell ref="C9:C12"/>
    <mergeCell ref="F5:F8"/>
  </mergeCells>
  <pageMargins left="0.984027777777778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8"/>
  <sheetViews>
    <sheetView workbookViewId="0">
      <selection activeCell="J38" sqref="J38"/>
    </sheetView>
  </sheetViews>
  <sheetFormatPr defaultColWidth="9" defaultRowHeight="11.25"/>
  <cols>
    <col min="1" max="1" width="7.125" style="48" customWidth="1"/>
    <col min="2" max="2" width="15.25" style="48" customWidth="1"/>
    <col min="3" max="3" width="7.25" style="48" customWidth="1"/>
    <col min="4" max="4" width="12.25" style="48" customWidth="1"/>
    <col min="5" max="5" width="6.625" style="48" customWidth="1"/>
    <col min="6" max="6" width="10.875" style="48" customWidth="1"/>
    <col min="7" max="10" width="8.625" style="48" customWidth="1"/>
    <col min="11" max="13" width="9" style="48"/>
    <col min="14" max="14" width="9.625" style="48"/>
    <col min="15" max="16" width="9" style="48"/>
    <col min="17" max="17" width="9.625" style="48"/>
    <col min="18" max="16384" width="9" style="48"/>
  </cols>
  <sheetData>
    <row r="1" s="33" customFormat="1" ht="24" customHeight="1" spans="1:10">
      <c r="A1" s="228" t="s">
        <v>403</v>
      </c>
      <c r="B1" s="228"/>
      <c r="C1" s="228"/>
      <c r="D1" s="228"/>
      <c r="E1" s="228"/>
      <c r="F1" s="228"/>
      <c r="G1" s="228"/>
      <c r="H1" s="228"/>
      <c r="I1" s="228"/>
      <c r="J1" s="228"/>
    </row>
    <row r="2" s="33" customFormat="1" ht="18" customHeight="1" spans="1:10">
      <c r="A2" s="229" t="s">
        <v>2</v>
      </c>
      <c r="B2" s="230" t="s">
        <v>175</v>
      </c>
      <c r="C2" s="230" t="s">
        <v>404</v>
      </c>
      <c r="D2" s="230" t="s">
        <v>405</v>
      </c>
      <c r="E2" s="230" t="s">
        <v>406</v>
      </c>
      <c r="F2" s="230" t="s">
        <v>407</v>
      </c>
      <c r="G2" s="214" t="s">
        <v>408</v>
      </c>
      <c r="H2" s="215"/>
      <c r="I2" s="215"/>
      <c r="J2" s="216"/>
    </row>
    <row r="3" ht="33.75" spans="1:14">
      <c r="A3" s="231"/>
      <c r="B3" s="232"/>
      <c r="C3" s="232"/>
      <c r="D3" s="232"/>
      <c r="E3" s="232"/>
      <c r="F3" s="232"/>
      <c r="G3" s="233" t="s">
        <v>409</v>
      </c>
      <c r="H3" s="233" t="s">
        <v>410</v>
      </c>
      <c r="I3" s="233" t="s">
        <v>411</v>
      </c>
      <c r="J3" s="241" t="s">
        <v>412</v>
      </c>
      <c r="L3" s="33"/>
      <c r="M3" s="33"/>
      <c r="N3" s="33"/>
    </row>
    <row r="4" ht="18" customHeight="1" spans="1:17">
      <c r="A4" s="234">
        <v>1</v>
      </c>
      <c r="B4" s="234" t="s">
        <v>134</v>
      </c>
      <c r="C4" s="234">
        <v>79</v>
      </c>
      <c r="D4" s="234" t="s">
        <v>135</v>
      </c>
      <c r="E4" s="234" t="s">
        <v>141</v>
      </c>
      <c r="F4" s="234" t="s">
        <v>137</v>
      </c>
      <c r="G4" s="234">
        <v>0</v>
      </c>
      <c r="H4" s="234">
        <f t="shared" ref="H4:H14" si="0">C4/2</f>
        <v>39.5</v>
      </c>
      <c r="I4" s="234">
        <f t="shared" ref="I4:I35" si="1">G4+H4</f>
        <v>39.5</v>
      </c>
      <c r="J4" s="242" t="s">
        <v>413</v>
      </c>
      <c r="L4" s="33"/>
      <c r="M4" s="33"/>
      <c r="N4" s="33"/>
      <c r="O4" s="243">
        <f t="shared" ref="O4:O24" si="2">C4*I4</f>
        <v>3120.5</v>
      </c>
      <c r="P4" s="243">
        <f t="shared" ref="P4:P24" si="3">C4+I4</f>
        <v>118.5</v>
      </c>
      <c r="Q4" s="124"/>
    </row>
    <row r="5" ht="18" customHeight="1" spans="1:17">
      <c r="A5" s="234">
        <v>2</v>
      </c>
      <c r="B5" s="234" t="s">
        <v>138</v>
      </c>
      <c r="C5" s="234">
        <v>307</v>
      </c>
      <c r="D5" s="234" t="s">
        <v>135</v>
      </c>
      <c r="E5" s="234" t="s">
        <v>141</v>
      </c>
      <c r="F5" s="234" t="s">
        <v>137</v>
      </c>
      <c r="G5" s="234">
        <v>0</v>
      </c>
      <c r="H5" s="234">
        <f t="shared" si="0"/>
        <v>153.5</v>
      </c>
      <c r="I5" s="234">
        <f t="shared" si="1"/>
        <v>153.5</v>
      </c>
      <c r="J5" s="242"/>
      <c r="L5" s="33"/>
      <c r="M5" s="33"/>
      <c r="N5" s="33"/>
      <c r="O5" s="243">
        <f t="shared" si="2"/>
        <v>47124.5</v>
      </c>
      <c r="P5" s="243">
        <f t="shared" si="3"/>
        <v>460.5</v>
      </c>
      <c r="Q5" s="124"/>
    </row>
    <row r="6" ht="18" customHeight="1" spans="1:17">
      <c r="A6" s="234">
        <v>3</v>
      </c>
      <c r="B6" s="234" t="s">
        <v>139</v>
      </c>
      <c r="C6" s="234">
        <v>146</v>
      </c>
      <c r="D6" s="234" t="s">
        <v>135</v>
      </c>
      <c r="E6" s="234" t="s">
        <v>141</v>
      </c>
      <c r="F6" s="234" t="s">
        <v>137</v>
      </c>
      <c r="G6" s="234">
        <v>160</v>
      </c>
      <c r="H6" s="234">
        <f t="shared" si="0"/>
        <v>73</v>
      </c>
      <c r="I6" s="234">
        <f t="shared" si="1"/>
        <v>233</v>
      </c>
      <c r="J6" s="242"/>
      <c r="L6" s="33"/>
      <c r="M6" s="33"/>
      <c r="N6" s="33"/>
      <c r="O6" s="243">
        <f t="shared" si="2"/>
        <v>34018</v>
      </c>
      <c r="P6" s="243">
        <f t="shared" si="3"/>
        <v>379</v>
      </c>
      <c r="Q6" s="124"/>
    </row>
    <row r="7" ht="18" customHeight="1" spans="1:17">
      <c r="A7" s="234">
        <v>4</v>
      </c>
      <c r="B7" s="234" t="s">
        <v>140</v>
      </c>
      <c r="C7" s="234">
        <v>188</v>
      </c>
      <c r="D7" s="234" t="s">
        <v>135</v>
      </c>
      <c r="E7" s="234" t="s">
        <v>141</v>
      </c>
      <c r="F7" s="234" t="s">
        <v>137</v>
      </c>
      <c r="G7" s="234">
        <v>0</v>
      </c>
      <c r="H7" s="234">
        <f t="shared" si="0"/>
        <v>94</v>
      </c>
      <c r="I7" s="234">
        <f t="shared" si="1"/>
        <v>94</v>
      </c>
      <c r="J7" s="242"/>
      <c r="L7" s="33"/>
      <c r="M7" s="33"/>
      <c r="N7" s="33"/>
      <c r="O7" s="243">
        <f t="shared" si="2"/>
        <v>17672</v>
      </c>
      <c r="P7" s="243">
        <f t="shared" si="3"/>
        <v>282</v>
      </c>
      <c r="Q7" s="124"/>
    </row>
    <row r="8" ht="18" customHeight="1" spans="1:17">
      <c r="A8" s="234">
        <v>5</v>
      </c>
      <c r="B8" s="234" t="s">
        <v>142</v>
      </c>
      <c r="C8" s="234">
        <v>356</v>
      </c>
      <c r="D8" s="234" t="s">
        <v>135</v>
      </c>
      <c r="E8" s="234" t="s">
        <v>141</v>
      </c>
      <c r="F8" s="234" t="s">
        <v>137</v>
      </c>
      <c r="G8" s="234">
        <v>0</v>
      </c>
      <c r="H8" s="234">
        <f t="shared" si="0"/>
        <v>178</v>
      </c>
      <c r="I8" s="234">
        <f t="shared" si="1"/>
        <v>178</v>
      </c>
      <c r="J8" s="242"/>
      <c r="L8" s="33"/>
      <c r="M8" s="33"/>
      <c r="N8" s="33"/>
      <c r="O8" s="243">
        <f t="shared" si="2"/>
        <v>63368</v>
      </c>
      <c r="P8" s="243">
        <f t="shared" si="3"/>
        <v>534</v>
      </c>
      <c r="Q8" s="124"/>
    </row>
    <row r="9" ht="18" customHeight="1" spans="1:17">
      <c r="A9" s="234">
        <v>6</v>
      </c>
      <c r="B9" s="234" t="s">
        <v>143</v>
      </c>
      <c r="C9" s="234">
        <v>318</v>
      </c>
      <c r="D9" s="234" t="s">
        <v>135</v>
      </c>
      <c r="E9" s="234" t="s">
        <v>141</v>
      </c>
      <c r="F9" s="234" t="s">
        <v>137</v>
      </c>
      <c r="G9" s="234">
        <v>0</v>
      </c>
      <c r="H9" s="234">
        <f t="shared" si="0"/>
        <v>159</v>
      </c>
      <c r="I9" s="234">
        <f t="shared" si="1"/>
        <v>159</v>
      </c>
      <c r="J9" s="242"/>
      <c r="L9" s="33"/>
      <c r="M9" s="33"/>
      <c r="N9" s="33"/>
      <c r="O9" s="243">
        <f t="shared" si="2"/>
        <v>50562</v>
      </c>
      <c r="P9" s="243">
        <f t="shared" si="3"/>
        <v>477</v>
      </c>
      <c r="Q9" s="124"/>
    </row>
    <row r="10" ht="18" customHeight="1" spans="1:17">
      <c r="A10" s="234">
        <v>7</v>
      </c>
      <c r="B10" s="234" t="s">
        <v>144</v>
      </c>
      <c r="C10" s="234">
        <v>102</v>
      </c>
      <c r="D10" s="234" t="s">
        <v>135</v>
      </c>
      <c r="E10" s="234" t="s">
        <v>141</v>
      </c>
      <c r="F10" s="234" t="s">
        <v>145</v>
      </c>
      <c r="G10" s="234">
        <v>0</v>
      </c>
      <c r="H10" s="234">
        <f t="shared" si="0"/>
        <v>51</v>
      </c>
      <c r="I10" s="234">
        <f t="shared" si="1"/>
        <v>51</v>
      </c>
      <c r="J10" s="242"/>
      <c r="L10" s="33"/>
      <c r="M10" s="33"/>
      <c r="N10" s="33"/>
      <c r="O10" s="243">
        <f t="shared" si="2"/>
        <v>5202</v>
      </c>
      <c r="P10" s="243">
        <f t="shared" si="3"/>
        <v>153</v>
      </c>
      <c r="Q10" s="124"/>
    </row>
    <row r="11" ht="18" customHeight="1" spans="1:17">
      <c r="A11" s="234">
        <v>8</v>
      </c>
      <c r="B11" s="234" t="s">
        <v>146</v>
      </c>
      <c r="C11" s="234">
        <v>170</v>
      </c>
      <c r="D11" s="234" t="s">
        <v>135</v>
      </c>
      <c r="E11" s="234" t="s">
        <v>141</v>
      </c>
      <c r="F11" s="234" t="s">
        <v>145</v>
      </c>
      <c r="G11" s="234">
        <v>160</v>
      </c>
      <c r="H11" s="234">
        <f t="shared" si="0"/>
        <v>85</v>
      </c>
      <c r="I11" s="234">
        <f t="shared" si="1"/>
        <v>245</v>
      </c>
      <c r="J11" s="242"/>
      <c r="L11" s="33"/>
      <c r="M11" s="33"/>
      <c r="N11" s="33"/>
      <c r="O11" s="243">
        <f t="shared" si="2"/>
        <v>41650</v>
      </c>
      <c r="P11" s="243">
        <f t="shared" si="3"/>
        <v>415</v>
      </c>
      <c r="Q11" s="124"/>
    </row>
    <row r="12" ht="18" customHeight="1" spans="1:17">
      <c r="A12" s="234">
        <v>9</v>
      </c>
      <c r="B12" s="234" t="s">
        <v>147</v>
      </c>
      <c r="C12" s="234">
        <v>806</v>
      </c>
      <c r="D12" s="234" t="s">
        <v>135</v>
      </c>
      <c r="E12" s="234" t="s">
        <v>141</v>
      </c>
      <c r="F12" s="234" t="s">
        <v>145</v>
      </c>
      <c r="G12" s="234">
        <v>0</v>
      </c>
      <c r="H12" s="234">
        <f t="shared" si="0"/>
        <v>403</v>
      </c>
      <c r="I12" s="234">
        <f t="shared" si="1"/>
        <v>403</v>
      </c>
      <c r="J12" s="242"/>
      <c r="L12" s="33"/>
      <c r="M12" s="33"/>
      <c r="N12" s="33"/>
      <c r="O12" s="243">
        <f t="shared" si="2"/>
        <v>324818</v>
      </c>
      <c r="P12" s="243">
        <f t="shared" si="3"/>
        <v>1209</v>
      </c>
      <c r="Q12" s="124"/>
    </row>
    <row r="13" ht="18" customHeight="1" spans="1:17">
      <c r="A13" s="234">
        <v>10</v>
      </c>
      <c r="B13" s="234" t="s">
        <v>149</v>
      </c>
      <c r="C13" s="234">
        <v>305</v>
      </c>
      <c r="D13" s="234" t="s">
        <v>135</v>
      </c>
      <c r="E13" s="234" t="s">
        <v>141</v>
      </c>
      <c r="F13" s="234" t="s">
        <v>150</v>
      </c>
      <c r="G13" s="234">
        <v>0</v>
      </c>
      <c r="H13" s="234">
        <f t="shared" si="0"/>
        <v>152.5</v>
      </c>
      <c r="I13" s="234">
        <f t="shared" si="1"/>
        <v>152.5</v>
      </c>
      <c r="J13" s="242"/>
      <c r="L13" s="33"/>
      <c r="M13" s="33"/>
      <c r="N13" s="33"/>
      <c r="O13" s="243">
        <f t="shared" si="2"/>
        <v>46512.5</v>
      </c>
      <c r="P13" s="243">
        <f t="shared" si="3"/>
        <v>457.5</v>
      </c>
      <c r="Q13" s="124"/>
    </row>
    <row r="14" ht="18" customHeight="1" spans="1:17">
      <c r="A14" s="234">
        <v>11</v>
      </c>
      <c r="B14" s="234" t="s">
        <v>151</v>
      </c>
      <c r="C14" s="234">
        <v>203</v>
      </c>
      <c r="D14" s="234" t="s">
        <v>135</v>
      </c>
      <c r="E14" s="234" t="s">
        <v>141</v>
      </c>
      <c r="F14" s="234" t="s">
        <v>150</v>
      </c>
      <c r="G14" s="234">
        <v>0</v>
      </c>
      <c r="H14" s="234">
        <f t="shared" si="0"/>
        <v>101.5</v>
      </c>
      <c r="I14" s="234">
        <f t="shared" si="1"/>
        <v>101.5</v>
      </c>
      <c r="J14" s="242"/>
      <c r="L14" s="33"/>
      <c r="M14" s="33"/>
      <c r="N14" s="33"/>
      <c r="O14" s="243">
        <f t="shared" si="2"/>
        <v>20604.5</v>
      </c>
      <c r="P14" s="243">
        <f t="shared" si="3"/>
        <v>304.5</v>
      </c>
      <c r="Q14" s="124"/>
    </row>
    <row r="15" ht="18" customHeight="1" spans="1:17">
      <c r="A15" s="234">
        <v>12</v>
      </c>
      <c r="B15" s="234" t="s">
        <v>152</v>
      </c>
      <c r="C15" s="234">
        <v>186</v>
      </c>
      <c r="D15" s="234" t="s">
        <v>135</v>
      </c>
      <c r="E15" s="234" t="s">
        <v>141</v>
      </c>
      <c r="F15" s="234" t="s">
        <v>153</v>
      </c>
      <c r="G15" s="234">
        <v>50</v>
      </c>
      <c r="H15" s="234">
        <f t="shared" ref="H15:H35" si="4">C15/2</f>
        <v>93</v>
      </c>
      <c r="I15" s="234">
        <f t="shared" si="1"/>
        <v>143</v>
      </c>
      <c r="J15" s="242"/>
      <c r="L15" s="33"/>
      <c r="M15" s="33"/>
      <c r="N15" s="33"/>
      <c r="O15" s="243">
        <f t="shared" si="2"/>
        <v>26598</v>
      </c>
      <c r="P15" s="243">
        <f t="shared" si="3"/>
        <v>329</v>
      </c>
      <c r="Q15" s="124"/>
    </row>
    <row r="16" ht="18" customHeight="1" spans="1:17">
      <c r="A16" s="234">
        <v>13</v>
      </c>
      <c r="B16" s="234" t="s">
        <v>154</v>
      </c>
      <c r="C16" s="234">
        <v>193</v>
      </c>
      <c r="D16" s="234" t="s">
        <v>135</v>
      </c>
      <c r="E16" s="234" t="s">
        <v>141</v>
      </c>
      <c r="F16" s="234" t="s">
        <v>153</v>
      </c>
      <c r="G16" s="234">
        <v>50</v>
      </c>
      <c r="H16" s="234">
        <f t="shared" si="4"/>
        <v>96.5</v>
      </c>
      <c r="I16" s="234">
        <f t="shared" si="1"/>
        <v>146.5</v>
      </c>
      <c r="J16" s="242"/>
      <c r="L16" s="33"/>
      <c r="M16" s="33"/>
      <c r="N16" s="33"/>
      <c r="O16" s="243">
        <f t="shared" si="2"/>
        <v>28274.5</v>
      </c>
      <c r="P16" s="243">
        <f t="shared" si="3"/>
        <v>339.5</v>
      </c>
      <c r="Q16" s="124"/>
    </row>
    <row r="17" ht="18" customHeight="1" spans="1:17">
      <c r="A17" s="234">
        <v>14</v>
      </c>
      <c r="B17" s="234" t="s">
        <v>155</v>
      </c>
      <c r="C17" s="234">
        <v>162</v>
      </c>
      <c r="D17" s="234" t="s">
        <v>135</v>
      </c>
      <c r="E17" s="234" t="s">
        <v>141</v>
      </c>
      <c r="F17" s="234" t="s">
        <v>153</v>
      </c>
      <c r="G17" s="234">
        <v>149</v>
      </c>
      <c r="H17" s="234">
        <f t="shared" si="4"/>
        <v>81</v>
      </c>
      <c r="I17" s="234">
        <f t="shared" si="1"/>
        <v>230</v>
      </c>
      <c r="J17" s="242"/>
      <c r="L17" s="33"/>
      <c r="M17" s="33"/>
      <c r="N17" s="33"/>
      <c r="O17" s="243">
        <f t="shared" si="2"/>
        <v>37260</v>
      </c>
      <c r="P17" s="243">
        <f t="shared" si="3"/>
        <v>392</v>
      </c>
      <c r="Q17" s="124"/>
    </row>
    <row r="18" ht="18" customHeight="1" spans="1:17">
      <c r="A18" s="234">
        <v>15</v>
      </c>
      <c r="B18" s="234" t="s">
        <v>156</v>
      </c>
      <c r="C18" s="234">
        <v>113</v>
      </c>
      <c r="D18" s="234" t="s">
        <v>135</v>
      </c>
      <c r="E18" s="234" t="s">
        <v>141</v>
      </c>
      <c r="F18" s="234" t="s">
        <v>153</v>
      </c>
      <c r="G18" s="234">
        <v>118</v>
      </c>
      <c r="H18" s="234">
        <f t="shared" si="4"/>
        <v>56.5</v>
      </c>
      <c r="I18" s="234">
        <f t="shared" si="1"/>
        <v>174.5</v>
      </c>
      <c r="J18" s="242"/>
      <c r="L18" s="33"/>
      <c r="M18" s="33"/>
      <c r="N18" s="33"/>
      <c r="O18" s="243">
        <f t="shared" si="2"/>
        <v>19718.5</v>
      </c>
      <c r="P18" s="243">
        <f t="shared" si="3"/>
        <v>287.5</v>
      </c>
      <c r="Q18" s="124"/>
    </row>
    <row r="19" ht="18" customHeight="1" spans="1:17">
      <c r="A19" s="234">
        <v>16</v>
      </c>
      <c r="B19" s="234" t="s">
        <v>157</v>
      </c>
      <c r="C19" s="234">
        <v>349</v>
      </c>
      <c r="D19" s="234" t="s">
        <v>135</v>
      </c>
      <c r="E19" s="234" t="s">
        <v>141</v>
      </c>
      <c r="F19" s="234" t="s">
        <v>153</v>
      </c>
      <c r="G19" s="234">
        <v>0</v>
      </c>
      <c r="H19" s="234">
        <f t="shared" si="4"/>
        <v>174.5</v>
      </c>
      <c r="I19" s="234">
        <f t="shared" si="1"/>
        <v>174.5</v>
      </c>
      <c r="J19" s="242"/>
      <c r="L19" s="33"/>
      <c r="M19" s="33"/>
      <c r="N19" s="33"/>
      <c r="O19" s="243">
        <f t="shared" si="2"/>
        <v>60900.5</v>
      </c>
      <c r="P19" s="243">
        <f t="shared" si="3"/>
        <v>523.5</v>
      </c>
      <c r="Q19" s="124"/>
    </row>
    <row r="20" ht="18" customHeight="1" spans="1:17">
      <c r="A20" s="234">
        <v>17</v>
      </c>
      <c r="B20" s="234" t="s">
        <v>158</v>
      </c>
      <c r="C20" s="234">
        <v>66</v>
      </c>
      <c r="D20" s="234" t="s">
        <v>135</v>
      </c>
      <c r="E20" s="234" t="s">
        <v>141</v>
      </c>
      <c r="F20" s="234" t="s">
        <v>153</v>
      </c>
      <c r="G20" s="234">
        <v>0</v>
      </c>
      <c r="H20" s="234">
        <f t="shared" si="4"/>
        <v>33</v>
      </c>
      <c r="I20" s="234">
        <f t="shared" si="1"/>
        <v>33</v>
      </c>
      <c r="J20" s="242"/>
      <c r="L20" s="33"/>
      <c r="M20" s="33"/>
      <c r="N20" s="33"/>
      <c r="O20" s="243">
        <f t="shared" si="2"/>
        <v>2178</v>
      </c>
      <c r="P20" s="243">
        <f t="shared" si="3"/>
        <v>99</v>
      </c>
      <c r="Q20" s="124"/>
    </row>
    <row r="21" ht="18" customHeight="1" spans="1:17">
      <c r="A21" s="234">
        <v>18</v>
      </c>
      <c r="B21" s="234" t="s">
        <v>159</v>
      </c>
      <c r="C21" s="234">
        <v>168</v>
      </c>
      <c r="D21" s="234" t="s">
        <v>135</v>
      </c>
      <c r="E21" s="234" t="s">
        <v>141</v>
      </c>
      <c r="F21" s="234" t="s">
        <v>153</v>
      </c>
      <c r="G21" s="234">
        <v>116</v>
      </c>
      <c r="H21" s="234">
        <f t="shared" si="4"/>
        <v>84</v>
      </c>
      <c r="I21" s="234">
        <f t="shared" si="1"/>
        <v>200</v>
      </c>
      <c r="J21" s="242"/>
      <c r="O21" s="243">
        <f t="shared" si="2"/>
        <v>33600</v>
      </c>
      <c r="P21" s="243">
        <f t="shared" si="3"/>
        <v>368</v>
      </c>
      <c r="Q21" s="124"/>
    </row>
    <row r="22" ht="18" customHeight="1" spans="1:17">
      <c r="A22" s="235">
        <v>19</v>
      </c>
      <c r="B22" s="235" t="s">
        <v>160</v>
      </c>
      <c r="C22" s="235">
        <v>470</v>
      </c>
      <c r="D22" s="235" t="s">
        <v>135</v>
      </c>
      <c r="E22" s="235" t="s">
        <v>141</v>
      </c>
      <c r="F22" s="235" t="s">
        <v>153</v>
      </c>
      <c r="G22" s="235">
        <v>0</v>
      </c>
      <c r="H22" s="235">
        <f t="shared" si="4"/>
        <v>235</v>
      </c>
      <c r="I22" s="235">
        <f t="shared" si="1"/>
        <v>235</v>
      </c>
      <c r="J22" s="242"/>
      <c r="O22" s="243">
        <f t="shared" si="2"/>
        <v>110450</v>
      </c>
      <c r="P22" s="243">
        <f t="shared" si="3"/>
        <v>705</v>
      </c>
      <c r="Q22" s="124"/>
    </row>
    <row r="23" ht="18" customHeight="1" spans="1:17">
      <c r="A23" s="234">
        <v>20</v>
      </c>
      <c r="B23" s="235" t="s">
        <v>414</v>
      </c>
      <c r="C23" s="235">
        <v>454</v>
      </c>
      <c r="D23" s="235" t="s">
        <v>135</v>
      </c>
      <c r="E23" s="235" t="s">
        <v>141</v>
      </c>
      <c r="F23" s="235" t="s">
        <v>171</v>
      </c>
      <c r="G23" s="235">
        <v>0</v>
      </c>
      <c r="H23" s="235">
        <f t="shared" si="4"/>
        <v>227</v>
      </c>
      <c r="I23" s="235">
        <f t="shared" si="1"/>
        <v>227</v>
      </c>
      <c r="J23" s="242"/>
      <c r="O23" s="243">
        <f t="shared" si="2"/>
        <v>103058</v>
      </c>
      <c r="P23" s="243">
        <f t="shared" si="3"/>
        <v>681</v>
      </c>
      <c r="Q23" s="124"/>
    </row>
    <row r="24" ht="18" customHeight="1" spans="1:17">
      <c r="A24" s="235">
        <v>21</v>
      </c>
      <c r="B24" s="235" t="s">
        <v>415</v>
      </c>
      <c r="C24" s="235">
        <v>119</v>
      </c>
      <c r="D24" s="235" t="s">
        <v>135</v>
      </c>
      <c r="E24" s="235" t="s">
        <v>141</v>
      </c>
      <c r="F24" s="235" t="s">
        <v>171</v>
      </c>
      <c r="G24" s="235">
        <v>0</v>
      </c>
      <c r="H24" s="235">
        <f t="shared" si="4"/>
        <v>59.5</v>
      </c>
      <c r="I24" s="235">
        <f t="shared" si="1"/>
        <v>59.5</v>
      </c>
      <c r="J24" s="242"/>
      <c r="O24" s="243">
        <f t="shared" si="2"/>
        <v>7080.5</v>
      </c>
      <c r="P24" s="243">
        <f t="shared" si="3"/>
        <v>178.5</v>
      </c>
      <c r="Q24" s="124"/>
    </row>
    <row r="25" ht="18" customHeight="1" spans="1:17">
      <c r="A25" s="234">
        <v>22</v>
      </c>
      <c r="B25" s="236" t="s">
        <v>162</v>
      </c>
      <c r="C25" s="236">
        <v>448</v>
      </c>
      <c r="D25" s="236" t="s">
        <v>163</v>
      </c>
      <c r="E25" s="236" t="s">
        <v>141</v>
      </c>
      <c r="F25" s="236" t="s">
        <v>416</v>
      </c>
      <c r="G25" s="236">
        <v>160</v>
      </c>
      <c r="H25" s="236">
        <f t="shared" si="4"/>
        <v>224</v>
      </c>
      <c r="I25" s="236">
        <f t="shared" si="1"/>
        <v>384</v>
      </c>
      <c r="J25" s="244" t="s">
        <v>417</v>
      </c>
      <c r="L25" s="245">
        <f t="shared" ref="L25:L30" si="5">C25*I25</f>
        <v>172032</v>
      </c>
      <c r="M25" s="245">
        <f t="shared" ref="M25:M30" si="6">C25+I25</f>
        <v>832</v>
      </c>
      <c r="N25" s="245"/>
      <c r="O25" s="243">
        <f>SUM(O4:O24)</f>
        <v>1083770</v>
      </c>
      <c r="P25" s="243">
        <f>SUM(P4:P24)</f>
        <v>8693</v>
      </c>
      <c r="Q25" s="243">
        <f>O25/P25</f>
        <v>124.671574830323</v>
      </c>
    </row>
    <row r="26" ht="18" customHeight="1" spans="1:17">
      <c r="A26" s="235">
        <v>23</v>
      </c>
      <c r="B26" s="236" t="s">
        <v>165</v>
      </c>
      <c r="C26" s="236">
        <v>748</v>
      </c>
      <c r="D26" s="236" t="s">
        <v>163</v>
      </c>
      <c r="E26" s="236" t="s">
        <v>141</v>
      </c>
      <c r="F26" s="236" t="s">
        <v>416</v>
      </c>
      <c r="G26" s="236">
        <v>0</v>
      </c>
      <c r="H26" s="236">
        <f t="shared" si="4"/>
        <v>374</v>
      </c>
      <c r="I26" s="236">
        <f t="shared" si="1"/>
        <v>374</v>
      </c>
      <c r="J26" s="246"/>
      <c r="L26" s="245">
        <f t="shared" si="5"/>
        <v>279752</v>
      </c>
      <c r="M26" s="245">
        <f t="shared" si="6"/>
        <v>1122</v>
      </c>
      <c r="N26" s="245"/>
      <c r="O26" s="124"/>
      <c r="P26" s="124"/>
      <c r="Q26" s="124"/>
    </row>
    <row r="27" ht="18" customHeight="1" spans="1:14">
      <c r="A27" s="234">
        <v>24</v>
      </c>
      <c r="B27" s="236" t="s">
        <v>166</v>
      </c>
      <c r="C27" s="236">
        <v>138</v>
      </c>
      <c r="D27" s="236" t="s">
        <v>163</v>
      </c>
      <c r="E27" s="236" t="s">
        <v>141</v>
      </c>
      <c r="F27" s="236" t="s">
        <v>418</v>
      </c>
      <c r="G27" s="236">
        <v>0</v>
      </c>
      <c r="H27" s="236">
        <f t="shared" si="4"/>
        <v>69</v>
      </c>
      <c r="I27" s="236">
        <f t="shared" si="1"/>
        <v>69</v>
      </c>
      <c r="J27" s="246"/>
      <c r="L27" s="245">
        <f t="shared" si="5"/>
        <v>9522</v>
      </c>
      <c r="M27" s="245">
        <f t="shared" si="6"/>
        <v>207</v>
      </c>
      <c r="N27" s="245"/>
    </row>
    <row r="28" ht="18" customHeight="1" spans="1:14">
      <c r="A28" s="235">
        <v>25</v>
      </c>
      <c r="B28" s="236" t="s">
        <v>167</v>
      </c>
      <c r="C28" s="236">
        <v>428</v>
      </c>
      <c r="D28" s="236" t="s">
        <v>163</v>
      </c>
      <c r="E28" s="236" t="s">
        <v>141</v>
      </c>
      <c r="F28" s="236" t="s">
        <v>418</v>
      </c>
      <c r="G28" s="236">
        <v>0</v>
      </c>
      <c r="H28" s="236">
        <f t="shared" si="4"/>
        <v>214</v>
      </c>
      <c r="I28" s="236">
        <f t="shared" si="1"/>
        <v>214</v>
      </c>
      <c r="J28" s="246"/>
      <c r="L28" s="245">
        <f t="shared" si="5"/>
        <v>91592</v>
      </c>
      <c r="M28" s="245">
        <f t="shared" si="6"/>
        <v>642</v>
      </c>
      <c r="N28" s="245"/>
    </row>
    <row r="29" ht="18" customHeight="1" spans="1:14">
      <c r="A29" s="234">
        <v>26</v>
      </c>
      <c r="B29" s="236" t="s">
        <v>168</v>
      </c>
      <c r="C29" s="236">
        <v>268</v>
      </c>
      <c r="D29" s="236" t="s">
        <v>163</v>
      </c>
      <c r="E29" s="236" t="s">
        <v>141</v>
      </c>
      <c r="F29" s="236" t="s">
        <v>419</v>
      </c>
      <c r="G29" s="236">
        <v>50</v>
      </c>
      <c r="H29" s="236">
        <f t="shared" si="4"/>
        <v>134</v>
      </c>
      <c r="I29" s="236">
        <f t="shared" si="1"/>
        <v>184</v>
      </c>
      <c r="J29" s="246"/>
      <c r="L29" s="245">
        <f t="shared" si="5"/>
        <v>49312</v>
      </c>
      <c r="M29" s="245">
        <f t="shared" si="6"/>
        <v>452</v>
      </c>
      <c r="N29" s="245"/>
    </row>
    <row r="30" ht="18" customHeight="1" spans="1:14">
      <c r="A30" s="235">
        <v>27</v>
      </c>
      <c r="B30" s="236" t="s">
        <v>169</v>
      </c>
      <c r="C30" s="236">
        <v>435</v>
      </c>
      <c r="D30" s="236" t="s">
        <v>163</v>
      </c>
      <c r="E30" s="236" t="s">
        <v>141</v>
      </c>
      <c r="F30" s="236" t="s">
        <v>419</v>
      </c>
      <c r="G30" s="236">
        <v>130</v>
      </c>
      <c r="H30" s="236">
        <f t="shared" si="4"/>
        <v>217.5</v>
      </c>
      <c r="I30" s="236">
        <f t="shared" si="1"/>
        <v>347.5</v>
      </c>
      <c r="J30" s="247"/>
      <c r="L30" s="245">
        <f t="shared" si="5"/>
        <v>151162.5</v>
      </c>
      <c r="M30" s="245">
        <f t="shared" si="6"/>
        <v>782.5</v>
      </c>
      <c r="N30" s="245"/>
    </row>
    <row r="31" ht="18" customHeight="1" spans="1:14">
      <c r="A31" s="237" t="s">
        <v>420</v>
      </c>
      <c r="B31" s="238" t="s">
        <v>185</v>
      </c>
      <c r="C31" s="238">
        <v>690</v>
      </c>
      <c r="D31" s="238" t="s">
        <v>421</v>
      </c>
      <c r="E31" s="238" t="s">
        <v>136</v>
      </c>
      <c r="F31" s="238" t="s">
        <v>418</v>
      </c>
      <c r="G31" s="238">
        <v>100</v>
      </c>
      <c r="H31" s="238">
        <f t="shared" si="4"/>
        <v>345</v>
      </c>
      <c r="I31" s="238">
        <f t="shared" si="1"/>
        <v>445</v>
      </c>
      <c r="J31" s="248">
        <v>207</v>
      </c>
      <c r="L31" s="245">
        <f>SUM(L25:L30)</f>
        <v>753372.5</v>
      </c>
      <c r="M31" s="245">
        <f>SUM(M25:M30)</f>
        <v>4037.5</v>
      </c>
      <c r="N31" s="245">
        <f>L31/M31</f>
        <v>186.593808049536</v>
      </c>
    </row>
    <row r="32" ht="18" customHeight="1" spans="1:14">
      <c r="A32" s="239"/>
      <c r="B32" s="240" t="s">
        <v>189</v>
      </c>
      <c r="C32" s="240">
        <v>623</v>
      </c>
      <c r="D32" s="240" t="s">
        <v>421</v>
      </c>
      <c r="E32" s="240" t="s">
        <v>136</v>
      </c>
      <c r="F32" s="240" t="s">
        <v>418</v>
      </c>
      <c r="G32" s="240">
        <v>90</v>
      </c>
      <c r="H32" s="240">
        <f t="shared" si="4"/>
        <v>311.5</v>
      </c>
      <c r="I32" s="240">
        <f t="shared" si="1"/>
        <v>401.5</v>
      </c>
      <c r="J32" s="249"/>
      <c r="L32" s="250">
        <f>C31*I31</f>
        <v>307050</v>
      </c>
      <c r="M32" s="250">
        <f>C31+I31</f>
        <v>1135</v>
      </c>
      <c r="N32" s="250"/>
    </row>
    <row r="33" ht="18" customHeight="1" spans="1:14">
      <c r="A33" s="239"/>
      <c r="B33" s="240" t="s">
        <v>192</v>
      </c>
      <c r="C33" s="240">
        <v>50</v>
      </c>
      <c r="D33" s="240" t="s">
        <v>163</v>
      </c>
      <c r="E33" s="240" t="s">
        <v>136</v>
      </c>
      <c r="F33" s="240" t="s">
        <v>418</v>
      </c>
      <c r="G33" s="240">
        <v>150</v>
      </c>
      <c r="H33" s="240">
        <f t="shared" si="4"/>
        <v>25</v>
      </c>
      <c r="I33" s="240">
        <f t="shared" si="1"/>
        <v>175</v>
      </c>
      <c r="J33" s="249"/>
      <c r="L33" s="250">
        <f>C32*I32</f>
        <v>250134.5</v>
      </c>
      <c r="M33" s="250">
        <f>C32+I32</f>
        <v>1024.5</v>
      </c>
      <c r="N33" s="250"/>
    </row>
    <row r="34" ht="18" customHeight="1" spans="1:14">
      <c r="A34" s="239"/>
      <c r="B34" s="240" t="s">
        <v>195</v>
      </c>
      <c r="C34" s="240">
        <v>40</v>
      </c>
      <c r="D34" s="240" t="s">
        <v>163</v>
      </c>
      <c r="E34" s="240" t="s">
        <v>136</v>
      </c>
      <c r="F34" s="240" t="s">
        <v>418</v>
      </c>
      <c r="G34" s="240">
        <v>200</v>
      </c>
      <c r="H34" s="240">
        <f t="shared" si="4"/>
        <v>20</v>
      </c>
      <c r="I34" s="240">
        <f t="shared" si="1"/>
        <v>220</v>
      </c>
      <c r="J34" s="249"/>
      <c r="L34" s="250">
        <f>C33*I33</f>
        <v>8750</v>
      </c>
      <c r="M34" s="250">
        <f>C33+I33</f>
        <v>225</v>
      </c>
      <c r="N34" s="250"/>
    </row>
    <row r="35" ht="18" customHeight="1" spans="1:14">
      <c r="A35" s="239"/>
      <c r="B35" s="240" t="s">
        <v>422</v>
      </c>
      <c r="C35" s="240">
        <v>5</v>
      </c>
      <c r="D35" s="240" t="s">
        <v>163</v>
      </c>
      <c r="E35" s="240" t="s">
        <v>136</v>
      </c>
      <c r="F35" s="240" t="s">
        <v>419</v>
      </c>
      <c r="G35" s="240">
        <v>116</v>
      </c>
      <c r="H35" s="240">
        <f t="shared" si="4"/>
        <v>2.5</v>
      </c>
      <c r="I35" s="240">
        <f t="shared" si="1"/>
        <v>118.5</v>
      </c>
      <c r="J35" s="249"/>
      <c r="L35" s="250">
        <f>C34*I34</f>
        <v>8800</v>
      </c>
      <c r="M35" s="250">
        <f>C34+I34</f>
        <v>260</v>
      </c>
      <c r="N35" s="250"/>
    </row>
    <row r="36" ht="18" customHeight="1" spans="12:14">
      <c r="L36" s="250">
        <f>C35*I35</f>
        <v>592.5</v>
      </c>
      <c r="M36" s="250">
        <f>C35+I35</f>
        <v>123.5</v>
      </c>
      <c r="N36" s="250"/>
    </row>
    <row r="37" ht="22" customHeight="1" spans="12:14">
      <c r="L37" s="250">
        <f>SUM(L32:L36)</f>
        <v>575327</v>
      </c>
      <c r="M37" s="250">
        <f>SUM(M32:M36)</f>
        <v>2768</v>
      </c>
      <c r="N37" s="250">
        <f>L37/M37</f>
        <v>207.849349710983</v>
      </c>
    </row>
    <row r="38" ht="22" customHeight="1"/>
    <row r="39" ht="22" customHeight="1"/>
    <row r="40" ht="22" customHeight="1"/>
    <row r="41" ht="22" customHeight="1"/>
    <row r="42" ht="22" customHeight="1"/>
    <row r="43" ht="22" customHeight="1"/>
    <row r="44" ht="22" customHeight="1"/>
    <row r="45" ht="22" customHeight="1"/>
    <row r="46" ht="22" customHeight="1"/>
    <row r="47" ht="22" customHeight="1"/>
    <row r="48" ht="22" customHeight="1"/>
  </sheetData>
  <mergeCells count="12">
    <mergeCell ref="A1:J1"/>
    <mergeCell ref="G2:J2"/>
    <mergeCell ref="A2:A3"/>
    <mergeCell ref="A31:A35"/>
    <mergeCell ref="B2:B3"/>
    <mergeCell ref="C2:C3"/>
    <mergeCell ref="D2:D3"/>
    <mergeCell ref="E2:E3"/>
    <mergeCell ref="F2:F3"/>
    <mergeCell ref="J4:J22"/>
    <mergeCell ref="J25:J30"/>
    <mergeCell ref="J31:J35"/>
  </mergeCells>
  <pageMargins left="0.708333333333333" right="0.472222222222222" top="0.590277777777778" bottom="0.550694444444444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T46"/>
  <sheetViews>
    <sheetView topLeftCell="A27" workbookViewId="0">
      <selection activeCell="E42" sqref="E42"/>
    </sheetView>
  </sheetViews>
  <sheetFormatPr defaultColWidth="9" defaultRowHeight="11.25"/>
  <cols>
    <col min="1" max="1" width="9" style="48"/>
    <col min="2" max="2" width="0.75" style="48" customWidth="1"/>
    <col min="3" max="3" width="7.25" style="48" customWidth="1"/>
    <col min="4" max="4" width="16.375" style="48" customWidth="1"/>
    <col min="5" max="16" width="6.625" style="48" customWidth="1"/>
    <col min="17" max="17" width="0.75" style="48" customWidth="1"/>
    <col min="18" max="20" width="14.625" style="48" customWidth="1"/>
    <col min="21" max="16384" width="9" style="48"/>
  </cols>
  <sheetData>
    <row r="2" s="33" customFormat="1" ht="38" customHeight="1" spans="2:9">
      <c r="B2" s="178" t="s">
        <v>423</v>
      </c>
      <c r="C2" s="178"/>
      <c r="D2" s="178"/>
      <c r="E2" s="178"/>
      <c r="F2" s="178"/>
      <c r="G2" s="178"/>
      <c r="H2" s="178"/>
      <c r="I2" s="178"/>
    </row>
    <row r="3" s="33" customFormat="1" ht="29" customHeight="1" spans="2:20">
      <c r="B3" s="179" t="s">
        <v>2</v>
      </c>
      <c r="C3" s="180" t="s">
        <v>424</v>
      </c>
      <c r="D3" s="180" t="s">
        <v>425</v>
      </c>
      <c r="E3" s="180" t="s">
        <v>426</v>
      </c>
      <c r="F3" s="180" t="s">
        <v>427</v>
      </c>
      <c r="G3" s="180" t="s">
        <v>428</v>
      </c>
      <c r="H3" s="181" t="s">
        <v>315</v>
      </c>
      <c r="I3" s="202"/>
      <c r="L3" s="203" t="s">
        <v>429</v>
      </c>
      <c r="M3" s="203"/>
      <c r="N3" s="203"/>
      <c r="O3" s="203"/>
      <c r="P3" s="203"/>
      <c r="Q3" s="203"/>
      <c r="R3" s="203"/>
      <c r="S3" s="203"/>
      <c r="T3" s="203"/>
    </row>
    <row r="4" s="33" customFormat="1" ht="24" customHeight="1" spans="2:20">
      <c r="B4" s="182"/>
      <c r="C4" s="183"/>
      <c r="D4" s="183" t="s">
        <v>430</v>
      </c>
      <c r="E4" s="183" t="s">
        <v>430</v>
      </c>
      <c r="F4" s="183" t="s">
        <v>431</v>
      </c>
      <c r="G4" s="183" t="s">
        <v>431</v>
      </c>
      <c r="H4" s="184" t="s">
        <v>430</v>
      </c>
      <c r="I4" s="202"/>
      <c r="L4" s="204" t="s">
        <v>432</v>
      </c>
      <c r="M4" s="205" t="s">
        <v>433</v>
      </c>
      <c r="N4" s="205" t="s">
        <v>434</v>
      </c>
      <c r="O4" s="205" t="s">
        <v>435</v>
      </c>
      <c r="P4" s="205" t="s">
        <v>436</v>
      </c>
      <c r="Q4" s="205" t="s">
        <v>437</v>
      </c>
      <c r="R4" s="205" t="s">
        <v>438</v>
      </c>
      <c r="S4" s="223" t="s">
        <v>439</v>
      </c>
      <c r="T4" s="191" t="s">
        <v>440</v>
      </c>
    </row>
    <row r="5" s="33" customFormat="1" ht="30" customHeight="1" spans="2:20">
      <c r="B5" s="182">
        <v>1</v>
      </c>
      <c r="C5" s="183" t="s">
        <v>441</v>
      </c>
      <c r="D5" s="183">
        <v>454</v>
      </c>
      <c r="E5" s="183">
        <v>4.5</v>
      </c>
      <c r="F5" s="183">
        <f t="shared" ref="F5:F7" si="0">D5*E5</f>
        <v>2043</v>
      </c>
      <c r="G5" s="183">
        <f t="shared" ref="G5:G7" si="1">F5</f>
        <v>2043</v>
      </c>
      <c r="H5" s="184">
        <f t="shared" ref="H5:H7" si="2">90*4.5</f>
        <v>405</v>
      </c>
      <c r="I5" s="202"/>
      <c r="L5" s="206"/>
      <c r="M5" s="207"/>
      <c r="N5" s="207"/>
      <c r="O5" s="207"/>
      <c r="P5" s="207"/>
      <c r="Q5" s="207"/>
      <c r="R5" s="207"/>
      <c r="S5" s="224"/>
      <c r="T5" s="207" t="s">
        <v>442</v>
      </c>
    </row>
    <row r="6" ht="30" customHeight="1" spans="2:20">
      <c r="B6" s="182">
        <v>2</v>
      </c>
      <c r="C6" s="183" t="s">
        <v>443</v>
      </c>
      <c r="D6" s="183">
        <v>45</v>
      </c>
      <c r="E6" s="183">
        <v>2.5</v>
      </c>
      <c r="F6" s="183">
        <f t="shared" si="0"/>
        <v>112.5</v>
      </c>
      <c r="G6" s="183">
        <f t="shared" si="1"/>
        <v>112.5</v>
      </c>
      <c r="H6" s="184">
        <f>5*2.5</f>
        <v>12.5</v>
      </c>
      <c r="I6" s="202"/>
      <c r="L6" s="208" t="s">
        <v>444</v>
      </c>
      <c r="M6" s="209">
        <v>0.5</v>
      </c>
      <c r="N6" s="209">
        <v>0.5</v>
      </c>
      <c r="O6" s="209">
        <v>5</v>
      </c>
      <c r="P6" s="209">
        <f>0.75*1.025</f>
        <v>0.76875</v>
      </c>
      <c r="Q6" s="209">
        <f>0.75*0.3781</f>
        <v>0.283575</v>
      </c>
      <c r="R6" s="209">
        <f>1.6*0.95</f>
        <v>1.52</v>
      </c>
      <c r="S6" s="209">
        <f>6.4*M6</f>
        <v>3.2</v>
      </c>
      <c r="T6" s="225">
        <f>0.58*M6</f>
        <v>0.29</v>
      </c>
    </row>
    <row r="7" ht="30" customHeight="1" spans="2:20">
      <c r="B7" s="185"/>
      <c r="C7" s="186" t="s">
        <v>445</v>
      </c>
      <c r="D7" s="186">
        <f>SUM(D5:D6)</f>
        <v>499</v>
      </c>
      <c r="E7" s="186"/>
      <c r="F7" s="186">
        <f>SUM(F5:F6)</f>
        <v>2155.5</v>
      </c>
      <c r="G7" s="186">
        <f>SUM(G5:G6)</f>
        <v>2155.5</v>
      </c>
      <c r="H7" s="187">
        <f>SUM(H5:H6)</f>
        <v>417.5</v>
      </c>
      <c r="I7" s="202"/>
      <c r="L7" s="208" t="s">
        <v>163</v>
      </c>
      <c r="M7" s="209">
        <v>0.6</v>
      </c>
      <c r="N7" s="209">
        <v>0.6</v>
      </c>
      <c r="O7" s="209">
        <v>6</v>
      </c>
      <c r="P7" s="209">
        <f>0.75*1.14</f>
        <v>0.855</v>
      </c>
      <c r="Q7" s="209">
        <f>0.75*0.461</f>
        <v>0.34575</v>
      </c>
      <c r="R7" s="209">
        <f t="shared" ref="R6:R9" si="3">1.6*0.95</f>
        <v>1.52</v>
      </c>
      <c r="S7" s="209">
        <f>6.4*M7</f>
        <v>3.84</v>
      </c>
      <c r="T7" s="225">
        <f>0.58*M7</f>
        <v>0.348</v>
      </c>
    </row>
    <row r="8" ht="21" customHeight="1" spans="8:20">
      <c r="H8" s="188"/>
      <c r="I8" s="210"/>
      <c r="L8" s="208" t="s">
        <v>446</v>
      </c>
      <c r="M8" s="209">
        <v>0.8</v>
      </c>
      <c r="N8" s="209">
        <v>0.8</v>
      </c>
      <c r="O8" s="209">
        <v>8</v>
      </c>
      <c r="P8" s="209">
        <f>0.75*1.63</f>
        <v>1.2225</v>
      </c>
      <c r="Q8" s="209">
        <f>0.75*0.712</f>
        <v>0.534</v>
      </c>
      <c r="R8" s="209">
        <f t="shared" si="3"/>
        <v>1.52</v>
      </c>
      <c r="S8" s="209">
        <f>6.4*M8</f>
        <v>5.12</v>
      </c>
      <c r="T8" s="225">
        <f>0.58*M8</f>
        <v>0.464</v>
      </c>
    </row>
    <row r="9" ht="24" customHeight="1" spans="8:20">
      <c r="H9" s="188"/>
      <c r="I9" s="210"/>
      <c r="L9" s="211" t="s">
        <v>447</v>
      </c>
      <c r="M9" s="212">
        <v>1</v>
      </c>
      <c r="N9" s="212">
        <v>1</v>
      </c>
      <c r="O9" s="213">
        <v>10</v>
      </c>
      <c r="P9" s="213">
        <f>0.75*2.16</f>
        <v>1.62</v>
      </c>
      <c r="Q9" s="213">
        <f>0.75*0.981</f>
        <v>0.73575</v>
      </c>
      <c r="R9" s="213">
        <f t="shared" si="3"/>
        <v>1.52</v>
      </c>
      <c r="S9" s="213">
        <f>6.4*M9</f>
        <v>6.4</v>
      </c>
      <c r="T9" s="226">
        <f>0.58*M9</f>
        <v>0.58</v>
      </c>
    </row>
    <row r="10" ht="12" spans="8:9">
      <c r="H10" s="188"/>
      <c r="I10" s="210"/>
    </row>
    <row r="11" ht="12" spans="8:9">
      <c r="H11" s="188"/>
      <c r="I11" s="210"/>
    </row>
    <row r="12" ht="32" customHeight="1" spans="3:19">
      <c r="C12" s="189" t="s">
        <v>448</v>
      </c>
      <c r="D12" s="189"/>
      <c r="E12" s="189"/>
      <c r="F12" s="189"/>
      <c r="G12" s="189"/>
      <c r="S12" s="48">
        <v>6.4</v>
      </c>
    </row>
    <row r="13" ht="24" customHeight="1" spans="3:7">
      <c r="C13" s="190" t="s">
        <v>449</v>
      </c>
      <c r="D13" s="191" t="s">
        <v>450</v>
      </c>
      <c r="E13" s="191" t="s">
        <v>451</v>
      </c>
      <c r="F13" s="192" t="s">
        <v>452</v>
      </c>
      <c r="G13" s="193" t="s">
        <v>453</v>
      </c>
    </row>
    <row r="14" ht="20" customHeight="1" spans="3:7">
      <c r="C14" s="194">
        <v>0</v>
      </c>
      <c r="D14" s="195">
        <v>0</v>
      </c>
      <c r="E14" s="195">
        <f>(D14+D15)/2</f>
        <v>0.745</v>
      </c>
      <c r="F14" s="195">
        <v>100</v>
      </c>
      <c r="G14" s="196">
        <f>F14*E14</f>
        <v>74.5</v>
      </c>
    </row>
    <row r="15" ht="12" customHeight="1" spans="3:7">
      <c r="C15" s="197" t="s">
        <v>454</v>
      </c>
      <c r="D15" s="195">
        <v>1.49</v>
      </c>
      <c r="E15" s="195"/>
      <c r="F15" s="195"/>
      <c r="G15" s="196"/>
    </row>
    <row r="16" ht="12" customHeight="1" spans="3:7">
      <c r="C16" s="197"/>
      <c r="D16" s="195"/>
      <c r="E16" s="195">
        <f>(D15+D17)/2</f>
        <v>1.52</v>
      </c>
      <c r="F16" s="195">
        <v>100</v>
      </c>
      <c r="G16" s="196">
        <f>F16*E16</f>
        <v>152</v>
      </c>
    </row>
    <row r="17" ht="12" customHeight="1" spans="3:7">
      <c r="C17" s="197" t="s">
        <v>455</v>
      </c>
      <c r="D17" s="195">
        <v>1.55</v>
      </c>
      <c r="E17" s="195"/>
      <c r="F17" s="195"/>
      <c r="G17" s="196"/>
    </row>
    <row r="18" ht="12" customHeight="1" spans="3:7">
      <c r="C18" s="197"/>
      <c r="D18" s="195"/>
      <c r="E18" s="195">
        <f>(D17+D19)/2</f>
        <v>1.51</v>
      </c>
      <c r="F18" s="195">
        <v>100</v>
      </c>
      <c r="G18" s="196">
        <f>F18*E18</f>
        <v>151</v>
      </c>
    </row>
    <row r="19" ht="12" customHeight="1" spans="3:7">
      <c r="C19" s="197" t="s">
        <v>456</v>
      </c>
      <c r="D19" s="195">
        <v>1.47</v>
      </c>
      <c r="E19" s="195"/>
      <c r="F19" s="195"/>
      <c r="G19" s="196"/>
    </row>
    <row r="20" ht="12" customHeight="1" spans="3:7">
      <c r="C20" s="197"/>
      <c r="D20" s="195"/>
      <c r="E20" s="195">
        <f>(D19+D21)/2</f>
        <v>1.59</v>
      </c>
      <c r="F20" s="195">
        <v>100</v>
      </c>
      <c r="G20" s="196">
        <f>F20*E20</f>
        <v>159</v>
      </c>
    </row>
    <row r="21" ht="12" customHeight="1" spans="3:7">
      <c r="C21" s="197" t="s">
        <v>457</v>
      </c>
      <c r="D21" s="195">
        <v>1.71</v>
      </c>
      <c r="E21" s="195"/>
      <c r="F21" s="195"/>
      <c r="G21" s="196"/>
    </row>
    <row r="22" ht="12" customHeight="1" spans="3:7">
      <c r="C22" s="197"/>
      <c r="D22" s="195"/>
      <c r="E22" s="195">
        <f>(D21+D23)/2</f>
        <v>0.855</v>
      </c>
      <c r="F22" s="195">
        <v>54</v>
      </c>
      <c r="G22" s="196">
        <f>F22*E22</f>
        <v>46.17</v>
      </c>
    </row>
    <row r="23" ht="18" customHeight="1" spans="3:7">
      <c r="C23" s="197" t="s">
        <v>458</v>
      </c>
      <c r="D23" s="195">
        <v>0</v>
      </c>
      <c r="E23" s="195"/>
      <c r="F23" s="195"/>
      <c r="G23" s="196"/>
    </row>
    <row r="24" ht="20" customHeight="1" spans="3:7">
      <c r="C24" s="198" t="s">
        <v>459</v>
      </c>
      <c r="D24" s="199"/>
      <c r="E24" s="199"/>
      <c r="F24" s="199"/>
      <c r="G24" s="200">
        <f>SUM(G14:G23)</f>
        <v>582.67</v>
      </c>
    </row>
    <row r="25" ht="30" customHeight="1"/>
    <row r="26" ht="30" customHeight="1" spans="3:20">
      <c r="C26" s="178" t="s">
        <v>460</v>
      </c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O26" s="178" t="s">
        <v>461</v>
      </c>
      <c r="P26" s="178"/>
      <c r="Q26" s="178"/>
      <c r="R26" s="178"/>
      <c r="S26" s="178"/>
      <c r="T26" s="178"/>
    </row>
    <row r="27" ht="43" customHeight="1" spans="3:20">
      <c r="C27" s="179" t="s">
        <v>2</v>
      </c>
      <c r="D27" s="180" t="s">
        <v>424</v>
      </c>
      <c r="E27" s="180" t="s">
        <v>462</v>
      </c>
      <c r="F27" s="180" t="s">
        <v>463</v>
      </c>
      <c r="G27" s="180" t="s">
        <v>464</v>
      </c>
      <c r="H27" s="180" t="s">
        <v>465</v>
      </c>
      <c r="I27" s="180" t="s">
        <v>466</v>
      </c>
      <c r="J27" s="180"/>
      <c r="K27" s="214" t="s">
        <v>467</v>
      </c>
      <c r="L27" s="215"/>
      <c r="M27" s="216"/>
      <c r="O27" s="217" t="s">
        <v>175</v>
      </c>
      <c r="P27" s="180" t="s">
        <v>464</v>
      </c>
      <c r="Q27" s="180" t="s">
        <v>465</v>
      </c>
      <c r="R27" s="180" t="s">
        <v>468</v>
      </c>
      <c r="S27" s="180" t="s">
        <v>469</v>
      </c>
      <c r="T27" s="181" t="s">
        <v>470</v>
      </c>
    </row>
    <row r="28" ht="24" customHeight="1" spans="3:20">
      <c r="C28" s="182"/>
      <c r="D28" s="183"/>
      <c r="E28" s="183" t="s">
        <v>430</v>
      </c>
      <c r="F28" s="183" t="s">
        <v>471</v>
      </c>
      <c r="G28" s="183" t="s">
        <v>472</v>
      </c>
      <c r="H28" s="183" t="s">
        <v>472</v>
      </c>
      <c r="I28" s="183" t="s">
        <v>473</v>
      </c>
      <c r="J28" s="183" t="s">
        <v>474</v>
      </c>
      <c r="K28" s="183" t="s">
        <v>473</v>
      </c>
      <c r="L28" s="183" t="s">
        <v>475</v>
      </c>
      <c r="M28" s="184" t="s">
        <v>476</v>
      </c>
      <c r="O28" s="218"/>
      <c r="P28" s="183" t="s">
        <v>472</v>
      </c>
      <c r="Q28" s="183" t="s">
        <v>472</v>
      </c>
      <c r="R28" s="183" t="s">
        <v>472</v>
      </c>
      <c r="S28" s="183" t="s">
        <v>472</v>
      </c>
      <c r="T28" s="184" t="s">
        <v>431</v>
      </c>
    </row>
    <row r="29" ht="38" customHeight="1" spans="3:20">
      <c r="C29" s="182">
        <v>1</v>
      </c>
      <c r="D29" s="183" t="s">
        <v>477</v>
      </c>
      <c r="E29" s="183">
        <v>158</v>
      </c>
      <c r="F29" s="183">
        <v>110</v>
      </c>
      <c r="G29" s="183">
        <f>E29*0.862</f>
        <v>136.196</v>
      </c>
      <c r="H29" s="183">
        <f>E29*(0.862-0.0113)</f>
        <v>134.4106</v>
      </c>
      <c r="I29" s="183">
        <v>50</v>
      </c>
      <c r="J29" s="183">
        <v>7</v>
      </c>
      <c r="K29" s="183">
        <v>50</v>
      </c>
      <c r="L29" s="183">
        <v>1.2</v>
      </c>
      <c r="M29" s="184">
        <f>J29*L29</f>
        <v>8.4</v>
      </c>
      <c r="O29" s="218" t="s">
        <v>478</v>
      </c>
      <c r="P29" s="219" t="s">
        <v>479</v>
      </c>
      <c r="Q29" s="219" t="s">
        <v>480</v>
      </c>
      <c r="R29" s="219" t="s">
        <v>481</v>
      </c>
      <c r="S29" s="219" t="s">
        <v>482</v>
      </c>
      <c r="T29" s="227" t="s">
        <v>483</v>
      </c>
    </row>
    <row r="30" ht="34" customHeight="1" spans="3:20">
      <c r="C30" s="182">
        <v>2</v>
      </c>
      <c r="D30" s="183" t="s">
        <v>484</v>
      </c>
      <c r="E30" s="183">
        <v>158</v>
      </c>
      <c r="F30" s="183">
        <v>110</v>
      </c>
      <c r="G30" s="183">
        <f>E30*0.862</f>
        <v>136.196</v>
      </c>
      <c r="H30" s="183">
        <f>E30*(0.862-0.0113)</f>
        <v>134.4106</v>
      </c>
      <c r="I30" s="183">
        <v>50</v>
      </c>
      <c r="J30" s="183">
        <v>7</v>
      </c>
      <c r="K30" s="183">
        <v>50</v>
      </c>
      <c r="L30" s="183">
        <v>1.2</v>
      </c>
      <c r="M30" s="184">
        <f>J30*L30</f>
        <v>8.4</v>
      </c>
      <c r="O30" s="220" t="s">
        <v>285</v>
      </c>
      <c r="P30" s="221">
        <f>(2.4+3.4)/2*1.05+0.5*0.5*(2.4+3.4)/2</f>
        <v>3.77</v>
      </c>
      <c r="Q30" s="221">
        <f>(0.5*0.5+0.6)*(2.4+3.4)/2</f>
        <v>2.465</v>
      </c>
      <c r="R30" s="221">
        <f>2*0.65*0.1</f>
        <v>0.13</v>
      </c>
      <c r="S30" s="221">
        <f>0.8*0.45*1.8+1.2*0.3*1.8</f>
        <v>1.296</v>
      </c>
      <c r="T30" s="187">
        <f>2.1*1.8*2+0.45*1.8</f>
        <v>8.37</v>
      </c>
    </row>
    <row r="31" ht="25" customHeight="1" spans="3:13">
      <c r="C31" s="182">
        <v>3</v>
      </c>
      <c r="D31" s="183" t="s">
        <v>485</v>
      </c>
      <c r="E31" s="183">
        <v>220</v>
      </c>
      <c r="F31" s="183">
        <v>110</v>
      </c>
      <c r="G31" s="183">
        <f>E31*0.862</f>
        <v>189.64</v>
      </c>
      <c r="H31" s="183">
        <f>E31*(0.862-0.0113)</f>
        <v>187.154</v>
      </c>
      <c r="I31" s="183">
        <v>50</v>
      </c>
      <c r="J31" s="183">
        <v>10</v>
      </c>
      <c r="K31" s="183">
        <v>50</v>
      </c>
      <c r="L31" s="183">
        <v>1.2</v>
      </c>
      <c r="M31" s="184">
        <f>J31*L31</f>
        <v>12</v>
      </c>
    </row>
    <row r="32" ht="25" customHeight="1" spans="3:13">
      <c r="C32" s="182">
        <v>4</v>
      </c>
      <c r="D32" s="183" t="s">
        <v>486</v>
      </c>
      <c r="E32" s="183">
        <v>230</v>
      </c>
      <c r="F32" s="183">
        <v>110</v>
      </c>
      <c r="G32" s="183">
        <f>E32*0.862</f>
        <v>198.26</v>
      </c>
      <c r="H32" s="183">
        <f>E32*(0.862-0.0113)</f>
        <v>195.661</v>
      </c>
      <c r="I32" s="183">
        <v>50</v>
      </c>
      <c r="J32" s="183">
        <v>10</v>
      </c>
      <c r="K32" s="183">
        <v>50</v>
      </c>
      <c r="L32" s="183">
        <v>1.2</v>
      </c>
      <c r="M32" s="184">
        <f>J32*L32</f>
        <v>12</v>
      </c>
    </row>
    <row r="33" ht="25" customHeight="1" spans="3:13">
      <c r="C33" s="182">
        <v>5</v>
      </c>
      <c r="D33" s="183" t="s">
        <v>487</v>
      </c>
      <c r="E33" s="183">
        <v>230</v>
      </c>
      <c r="F33" s="183">
        <v>110</v>
      </c>
      <c r="G33" s="183">
        <f>E33*0.862</f>
        <v>198.26</v>
      </c>
      <c r="H33" s="183">
        <f>E33*(0.862-0.0113)</f>
        <v>195.661</v>
      </c>
      <c r="I33" s="183">
        <v>50</v>
      </c>
      <c r="J33" s="183">
        <v>10</v>
      </c>
      <c r="K33" s="183">
        <v>50</v>
      </c>
      <c r="L33" s="183">
        <v>1.2</v>
      </c>
      <c r="M33" s="184">
        <f>J33*L33</f>
        <v>12</v>
      </c>
    </row>
    <row r="34" ht="25" customHeight="1" spans="3:13">
      <c r="C34" s="185"/>
      <c r="D34" s="186" t="s">
        <v>445</v>
      </c>
      <c r="E34" s="186">
        <f>SUM(E29:E33)</f>
        <v>996</v>
      </c>
      <c r="F34" s="186"/>
      <c r="G34" s="186">
        <f>SUM(G33:G33)</f>
        <v>198.26</v>
      </c>
      <c r="H34" s="186">
        <f>SUM(H33:H33)</f>
        <v>195.661</v>
      </c>
      <c r="I34" s="186"/>
      <c r="J34" s="186">
        <f>SUM(J29:J33)</f>
        <v>44</v>
      </c>
      <c r="K34" s="186"/>
      <c r="L34" s="186"/>
      <c r="M34" s="187">
        <f>SUM(M29:M33)</f>
        <v>52.8</v>
      </c>
    </row>
    <row r="36" ht="30" customHeight="1" spans="3:16">
      <c r="C36" s="178" t="s">
        <v>488</v>
      </c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</row>
    <row r="37" s="177" customFormat="1" ht="30" customHeight="1" spans="3:16">
      <c r="C37" s="179" t="s">
        <v>2</v>
      </c>
      <c r="D37" s="180" t="s">
        <v>424</v>
      </c>
      <c r="E37" s="201" t="s">
        <v>302</v>
      </c>
      <c r="F37" s="201"/>
      <c r="G37" s="201"/>
      <c r="H37" s="201"/>
      <c r="I37" s="201" t="s">
        <v>303</v>
      </c>
      <c r="J37" s="201"/>
      <c r="K37" s="201"/>
      <c r="L37" s="201"/>
      <c r="M37" s="180" t="s">
        <v>304</v>
      </c>
      <c r="N37" s="180"/>
      <c r="O37" s="180"/>
      <c r="P37" s="222"/>
    </row>
    <row r="38" ht="30" customHeight="1" spans="3:18">
      <c r="C38" s="182"/>
      <c r="D38" s="183"/>
      <c r="E38" s="183" t="s">
        <v>425</v>
      </c>
      <c r="F38" s="183" t="s">
        <v>489</v>
      </c>
      <c r="G38" s="183" t="s">
        <v>490</v>
      </c>
      <c r="H38" s="183" t="s">
        <v>285</v>
      </c>
      <c r="I38" s="183" t="s">
        <v>425</v>
      </c>
      <c r="J38" s="183" t="s">
        <v>489</v>
      </c>
      <c r="K38" s="183" t="s">
        <v>490</v>
      </c>
      <c r="L38" s="183" t="s">
        <v>285</v>
      </c>
      <c r="M38" s="183" t="s">
        <v>425</v>
      </c>
      <c r="N38" s="183" t="s">
        <v>491</v>
      </c>
      <c r="O38" s="183" t="s">
        <v>490</v>
      </c>
      <c r="P38" s="184" t="s">
        <v>285</v>
      </c>
      <c r="R38" s="48" t="s">
        <v>492</v>
      </c>
    </row>
    <row r="39" ht="18" customHeight="1" spans="3:16">
      <c r="C39" s="182"/>
      <c r="D39" s="183"/>
      <c r="E39" s="183" t="s">
        <v>430</v>
      </c>
      <c r="F39" s="183" t="s">
        <v>430</v>
      </c>
      <c r="G39" s="183" t="s">
        <v>430</v>
      </c>
      <c r="H39" s="183" t="s">
        <v>472</v>
      </c>
      <c r="I39" s="183" t="s">
        <v>430</v>
      </c>
      <c r="J39" s="183" t="s">
        <v>430</v>
      </c>
      <c r="K39" s="183" t="s">
        <v>430</v>
      </c>
      <c r="L39" s="183" t="s">
        <v>472</v>
      </c>
      <c r="M39" s="183" t="s">
        <v>430</v>
      </c>
      <c r="N39" s="183" t="s">
        <v>430</v>
      </c>
      <c r="O39" s="183" t="s">
        <v>430</v>
      </c>
      <c r="P39" s="184" t="s">
        <v>472</v>
      </c>
    </row>
    <row r="40" ht="25" customHeight="1" spans="3:16">
      <c r="C40" s="182">
        <v>1</v>
      </c>
      <c r="D40" s="183" t="s">
        <v>493</v>
      </c>
      <c r="E40" s="183">
        <v>3500</v>
      </c>
      <c r="F40" s="183">
        <v>0.15</v>
      </c>
      <c r="G40" s="183">
        <v>0.5</v>
      </c>
      <c r="H40" s="183">
        <f t="shared" ref="H40:H44" si="4">E40*F40*G40</f>
        <v>262.5</v>
      </c>
      <c r="I40" s="183">
        <v>300</v>
      </c>
      <c r="J40" s="183">
        <v>0.1</v>
      </c>
      <c r="K40" s="183">
        <v>0.6</v>
      </c>
      <c r="L40" s="183">
        <f>I40*J40*K40</f>
        <v>18</v>
      </c>
      <c r="M40" s="183">
        <v>30</v>
      </c>
      <c r="N40" s="183">
        <v>0.3</v>
      </c>
      <c r="O40" s="183">
        <v>0.2</v>
      </c>
      <c r="P40" s="184">
        <f t="shared" ref="P40:P44" si="5">M40*N40*O40</f>
        <v>1.8</v>
      </c>
    </row>
    <row r="41" ht="25" customHeight="1" spans="3:16">
      <c r="C41" s="182">
        <v>2</v>
      </c>
      <c r="D41" s="183" t="s">
        <v>494</v>
      </c>
      <c r="E41" s="183">
        <v>3500</v>
      </c>
      <c r="F41" s="183">
        <v>0.15</v>
      </c>
      <c r="G41" s="183">
        <v>0.5</v>
      </c>
      <c r="H41" s="183">
        <f t="shared" si="4"/>
        <v>262.5</v>
      </c>
      <c r="I41" s="183">
        <v>300</v>
      </c>
      <c r="J41" s="183">
        <v>0.1</v>
      </c>
      <c r="K41" s="183">
        <v>0.6</v>
      </c>
      <c r="L41" s="183">
        <f>I41*J41*K41</f>
        <v>18</v>
      </c>
      <c r="M41" s="183">
        <v>30</v>
      </c>
      <c r="N41" s="183">
        <v>0.3</v>
      </c>
      <c r="O41" s="183">
        <v>0.2</v>
      </c>
      <c r="P41" s="184">
        <f t="shared" si="5"/>
        <v>1.8</v>
      </c>
    </row>
    <row r="42" ht="25" customHeight="1" spans="3:16">
      <c r="C42" s="182">
        <v>3</v>
      </c>
      <c r="D42" s="183" t="s">
        <v>495</v>
      </c>
      <c r="E42" s="183">
        <v>4500</v>
      </c>
      <c r="F42" s="183">
        <v>0.15</v>
      </c>
      <c r="G42" s="183">
        <v>0.5</v>
      </c>
      <c r="H42" s="183">
        <f t="shared" si="4"/>
        <v>337.5</v>
      </c>
      <c r="I42" s="183">
        <v>300</v>
      </c>
      <c r="J42" s="183">
        <v>0.1</v>
      </c>
      <c r="K42" s="183">
        <v>0.6</v>
      </c>
      <c r="L42" s="183">
        <f>I42*J42*K42</f>
        <v>18</v>
      </c>
      <c r="M42" s="183">
        <v>30</v>
      </c>
      <c r="N42" s="183">
        <v>0.3</v>
      </c>
      <c r="O42" s="183">
        <v>0.2</v>
      </c>
      <c r="P42" s="184">
        <f t="shared" si="5"/>
        <v>1.8</v>
      </c>
    </row>
    <row r="43" ht="25" customHeight="1" spans="3:16">
      <c r="C43" s="182">
        <v>4</v>
      </c>
      <c r="D43" s="183" t="s">
        <v>496</v>
      </c>
      <c r="E43" s="183">
        <v>3500</v>
      </c>
      <c r="F43" s="183">
        <v>0.15</v>
      </c>
      <c r="G43" s="183">
        <v>0.5</v>
      </c>
      <c r="H43" s="183">
        <f t="shared" si="4"/>
        <v>262.5</v>
      </c>
      <c r="I43" s="183">
        <v>300</v>
      </c>
      <c r="J43" s="183">
        <v>0.1</v>
      </c>
      <c r="K43" s="183">
        <v>0.6</v>
      </c>
      <c r="L43" s="183">
        <f>I43*J43*K43</f>
        <v>18</v>
      </c>
      <c r="M43" s="183">
        <v>30</v>
      </c>
      <c r="N43" s="183">
        <v>0.3</v>
      </c>
      <c r="O43" s="183">
        <v>0.2</v>
      </c>
      <c r="P43" s="184">
        <f t="shared" si="5"/>
        <v>1.8</v>
      </c>
    </row>
    <row r="44" ht="25" customHeight="1" spans="3:16">
      <c r="C44" s="182">
        <v>5</v>
      </c>
      <c r="D44" s="183" t="s">
        <v>497</v>
      </c>
      <c r="E44" s="183">
        <v>1000</v>
      </c>
      <c r="F44" s="183">
        <v>0.15</v>
      </c>
      <c r="G44" s="183">
        <v>0.5</v>
      </c>
      <c r="H44" s="183">
        <f t="shared" si="4"/>
        <v>75</v>
      </c>
      <c r="I44" s="183">
        <v>300</v>
      </c>
      <c r="J44" s="183">
        <v>0.1</v>
      </c>
      <c r="K44" s="183">
        <v>0.6</v>
      </c>
      <c r="L44" s="183">
        <f>I44*J44*K44</f>
        <v>18</v>
      </c>
      <c r="M44" s="183">
        <v>30</v>
      </c>
      <c r="N44" s="183">
        <v>0.3</v>
      </c>
      <c r="O44" s="183">
        <v>0.2</v>
      </c>
      <c r="P44" s="184">
        <f t="shared" si="5"/>
        <v>1.8</v>
      </c>
    </row>
    <row r="45" ht="25" customHeight="1" spans="3:16">
      <c r="C45" s="185"/>
      <c r="D45" s="186" t="s">
        <v>445</v>
      </c>
      <c r="E45" s="186">
        <f>SUM(E40:E44)</f>
        <v>16000</v>
      </c>
      <c r="F45" s="186"/>
      <c r="G45" s="186"/>
      <c r="H45" s="186">
        <f>SUM(H40:H43)</f>
        <v>1125</v>
      </c>
      <c r="I45" s="186">
        <f>SUM(I40:I44)</f>
        <v>1500</v>
      </c>
      <c r="J45" s="186"/>
      <c r="K45" s="186"/>
      <c r="L45" s="186">
        <f>SUM(L40:L44)</f>
        <v>90</v>
      </c>
      <c r="M45" s="186">
        <f>SUM(M40:M44)</f>
        <v>150</v>
      </c>
      <c r="N45" s="186"/>
      <c r="O45" s="186"/>
      <c r="P45" s="187">
        <f>SUM(P40:P44)</f>
        <v>9</v>
      </c>
    </row>
    <row r="46" ht="4" customHeight="1" spans="3:9">
      <c r="C46" s="178"/>
      <c r="D46" s="178"/>
      <c r="E46" s="178"/>
      <c r="F46" s="178"/>
      <c r="G46" s="178"/>
      <c r="H46" s="178"/>
      <c r="I46" s="178"/>
    </row>
  </sheetData>
  <mergeCells count="50">
    <mergeCell ref="B2:H2"/>
    <mergeCell ref="L3:T3"/>
    <mergeCell ref="C12:G12"/>
    <mergeCell ref="C26:M26"/>
    <mergeCell ref="O26:T26"/>
    <mergeCell ref="I27:J27"/>
    <mergeCell ref="K27:M27"/>
    <mergeCell ref="C36:P36"/>
    <mergeCell ref="E37:H37"/>
    <mergeCell ref="I37:L37"/>
    <mergeCell ref="M37:O37"/>
    <mergeCell ref="C46:H46"/>
    <mergeCell ref="B3:B4"/>
    <mergeCell ref="C3:C4"/>
    <mergeCell ref="C15:C16"/>
    <mergeCell ref="C17:C18"/>
    <mergeCell ref="C19:C20"/>
    <mergeCell ref="C21:C22"/>
    <mergeCell ref="C27:C28"/>
    <mergeCell ref="C37:C39"/>
    <mergeCell ref="D15:D16"/>
    <mergeCell ref="D17:D18"/>
    <mergeCell ref="D19:D20"/>
    <mergeCell ref="D21:D22"/>
    <mergeCell ref="D27:D28"/>
    <mergeCell ref="D37:D39"/>
    <mergeCell ref="E14:E15"/>
    <mergeCell ref="E16:E17"/>
    <mergeCell ref="E18:E19"/>
    <mergeCell ref="E20:E21"/>
    <mergeCell ref="E22:E23"/>
    <mergeCell ref="F14:F15"/>
    <mergeCell ref="F16:F17"/>
    <mergeCell ref="F18:F19"/>
    <mergeCell ref="F20:F21"/>
    <mergeCell ref="F22:F23"/>
    <mergeCell ref="G14:G15"/>
    <mergeCell ref="G16:G17"/>
    <mergeCell ref="G18:G19"/>
    <mergeCell ref="G20:G21"/>
    <mergeCell ref="G22:G23"/>
    <mergeCell ref="L4:L5"/>
    <mergeCell ref="M4:M5"/>
    <mergeCell ref="N4:N5"/>
    <mergeCell ref="O4:O5"/>
    <mergeCell ref="O27:O28"/>
    <mergeCell ref="P4:P5"/>
    <mergeCell ref="Q4:Q5"/>
    <mergeCell ref="R4:R5"/>
    <mergeCell ref="S4:S5"/>
  </mergeCells>
  <pageMargins left="0.75" right="0.75" top="1" bottom="1" header="0.5" footer="0.5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S33"/>
  <sheetViews>
    <sheetView topLeftCell="A8" workbookViewId="0">
      <selection activeCell="G18" sqref="G18"/>
    </sheetView>
  </sheetViews>
  <sheetFormatPr defaultColWidth="9" defaultRowHeight="11.25"/>
  <cols>
    <col min="1" max="1" width="8.375" style="48" customWidth="1"/>
    <col min="2" max="2" width="8.75" style="48" customWidth="1"/>
    <col min="3" max="3" width="16.375" style="48" customWidth="1"/>
    <col min="4" max="4" width="7.875" style="48" customWidth="1"/>
    <col min="5" max="5" width="8.625" style="48" customWidth="1"/>
    <col min="6" max="6" width="6.875" style="48" customWidth="1"/>
    <col min="7" max="8" width="9.875" style="48" customWidth="1"/>
    <col min="9" max="9" width="8.25" style="48" customWidth="1"/>
    <col min="10" max="10" width="10.125" style="48" customWidth="1"/>
    <col min="11" max="11" width="15.125" style="48" customWidth="1"/>
    <col min="12" max="12" width="24.5" style="124" customWidth="1"/>
    <col min="13" max="13" width="9.625" style="124"/>
    <col min="14" max="14" width="12.125" style="124" customWidth="1"/>
    <col min="15" max="15" width="2" style="48" customWidth="1"/>
    <col min="16" max="16" width="11.5" style="48" customWidth="1"/>
    <col min="17" max="17" width="23.625" style="124" customWidth="1"/>
    <col min="18" max="18" width="9" style="124"/>
    <col min="19" max="19" width="12" style="124" customWidth="1"/>
    <col min="20" max="16384" width="9" style="48"/>
  </cols>
  <sheetData>
    <row r="2" s="33" customFormat="1" ht="38" customHeight="1" spans="2:19">
      <c r="B2" s="49" t="s">
        <v>498</v>
      </c>
      <c r="C2" s="49"/>
      <c r="D2" s="49"/>
      <c r="E2" s="49"/>
      <c r="F2" s="49"/>
      <c r="G2" s="49"/>
      <c r="H2" s="49"/>
      <c r="I2" s="49"/>
      <c r="L2" s="156"/>
      <c r="M2" s="156"/>
      <c r="N2" s="156"/>
      <c r="Q2" s="156"/>
      <c r="R2" s="156"/>
      <c r="S2" s="156"/>
    </row>
    <row r="3" s="33" customFormat="1" ht="30" customHeight="1" spans="2:19">
      <c r="B3" s="24" t="s">
        <v>2</v>
      </c>
      <c r="C3" s="24" t="s">
        <v>499</v>
      </c>
      <c r="D3" s="25" t="s">
        <v>500</v>
      </c>
      <c r="E3" s="25"/>
      <c r="F3" s="25"/>
      <c r="G3" s="25"/>
      <c r="H3" s="25"/>
      <c r="I3" s="25"/>
      <c r="K3" s="157" t="s">
        <v>501</v>
      </c>
      <c r="L3" s="126" t="s">
        <v>502</v>
      </c>
      <c r="M3" s="126"/>
      <c r="N3" s="126"/>
      <c r="P3" s="157" t="s">
        <v>444</v>
      </c>
      <c r="Q3" s="126" t="s">
        <v>503</v>
      </c>
      <c r="R3" s="126"/>
      <c r="S3" s="126"/>
    </row>
    <row r="4" ht="25" customHeight="1" spans="2:19">
      <c r="B4" s="24"/>
      <c r="C4" s="24"/>
      <c r="D4" s="24" t="s">
        <v>504</v>
      </c>
      <c r="E4" s="24" t="s">
        <v>505</v>
      </c>
      <c r="F4" s="24" t="s">
        <v>506</v>
      </c>
      <c r="G4" s="24" t="s">
        <v>507</v>
      </c>
      <c r="H4" s="24" t="s">
        <v>508</v>
      </c>
      <c r="I4" s="24" t="s">
        <v>509</v>
      </c>
      <c r="L4" s="158" t="s">
        <v>510</v>
      </c>
      <c r="M4" s="159" t="s">
        <v>284</v>
      </c>
      <c r="N4" s="160" t="s">
        <v>511</v>
      </c>
      <c r="Q4" s="158" t="s">
        <v>510</v>
      </c>
      <c r="R4" s="159" t="s">
        <v>284</v>
      </c>
      <c r="S4" s="160" t="s">
        <v>511</v>
      </c>
    </row>
    <row r="5" ht="25" customHeight="1" spans="2:19">
      <c r="B5" s="24">
        <v>1</v>
      </c>
      <c r="C5" s="24" t="s">
        <v>501</v>
      </c>
      <c r="D5" s="28">
        <v>0.4</v>
      </c>
      <c r="E5" s="28">
        <v>0.4</v>
      </c>
      <c r="F5" s="28">
        <v>0.2</v>
      </c>
      <c r="G5" s="28">
        <f t="shared" ref="G5:G10" si="0">D5+F5+F5</f>
        <v>0.8</v>
      </c>
      <c r="H5" s="28">
        <v>0.1</v>
      </c>
      <c r="I5" s="28">
        <v>0</v>
      </c>
      <c r="L5" s="161" t="s">
        <v>291</v>
      </c>
      <c r="M5" s="162" t="s">
        <v>292</v>
      </c>
      <c r="N5" s="163">
        <v>0.3701</v>
      </c>
      <c r="Q5" s="161" t="s">
        <v>291</v>
      </c>
      <c r="R5" s="162" t="s">
        <v>292</v>
      </c>
      <c r="S5" s="163">
        <v>0.5208</v>
      </c>
    </row>
    <row r="6" ht="25" customHeight="1" spans="2:19">
      <c r="B6" s="24">
        <v>2</v>
      </c>
      <c r="C6" s="24" t="s">
        <v>444</v>
      </c>
      <c r="D6" s="28">
        <v>0.5</v>
      </c>
      <c r="E6" s="28">
        <v>0.5</v>
      </c>
      <c r="F6" s="28">
        <v>0.2</v>
      </c>
      <c r="G6" s="28">
        <f t="shared" si="0"/>
        <v>0.9</v>
      </c>
      <c r="H6" s="28">
        <v>0.15</v>
      </c>
      <c r="I6" s="28">
        <v>0</v>
      </c>
      <c r="L6" s="161" t="s">
        <v>293</v>
      </c>
      <c r="M6" s="162" t="s">
        <v>292</v>
      </c>
      <c r="N6" s="163">
        <v>0.156</v>
      </c>
      <c r="Q6" s="161" t="s">
        <v>293</v>
      </c>
      <c r="R6" s="162" t="s">
        <v>292</v>
      </c>
      <c r="S6" s="163">
        <v>0.2236</v>
      </c>
    </row>
    <row r="7" ht="25" customHeight="1" spans="2:19">
      <c r="B7" s="24">
        <v>3</v>
      </c>
      <c r="C7" s="24" t="s">
        <v>163</v>
      </c>
      <c r="D7" s="28">
        <v>0.6</v>
      </c>
      <c r="E7" s="31">
        <v>0.6</v>
      </c>
      <c r="F7" s="31">
        <v>0.25</v>
      </c>
      <c r="G7" s="46">
        <f t="shared" si="0"/>
        <v>1.1</v>
      </c>
      <c r="H7" s="28">
        <v>0.18</v>
      </c>
      <c r="I7" s="28">
        <v>0.1</v>
      </c>
      <c r="L7" s="161" t="s">
        <v>512</v>
      </c>
      <c r="M7" s="162" t="s">
        <v>292</v>
      </c>
      <c r="N7" s="163">
        <f>0.4*0.2*2</f>
        <v>0.16</v>
      </c>
      <c r="Q7" s="161" t="s">
        <v>512</v>
      </c>
      <c r="R7" s="162" t="s">
        <v>292</v>
      </c>
      <c r="S7" s="163">
        <f>0.5*0.2*2</f>
        <v>0.2</v>
      </c>
    </row>
    <row r="8" ht="25" customHeight="1" spans="2:19">
      <c r="B8" s="24">
        <v>4</v>
      </c>
      <c r="C8" s="24" t="s">
        <v>446</v>
      </c>
      <c r="D8" s="28">
        <v>0.8</v>
      </c>
      <c r="E8" s="31">
        <v>0.8</v>
      </c>
      <c r="F8" s="31">
        <v>0.25</v>
      </c>
      <c r="G8" s="46">
        <f t="shared" si="0"/>
        <v>1.3</v>
      </c>
      <c r="H8" s="28">
        <v>0.2</v>
      </c>
      <c r="I8" s="28">
        <v>0.1</v>
      </c>
      <c r="L8" s="161" t="s">
        <v>513</v>
      </c>
      <c r="M8" s="162" t="s">
        <v>292</v>
      </c>
      <c r="N8" s="163">
        <f>0.8*0.1</f>
        <v>0.08</v>
      </c>
      <c r="Q8" s="161" t="s">
        <v>513</v>
      </c>
      <c r="R8" s="162" t="s">
        <v>292</v>
      </c>
      <c r="S8" s="163">
        <f>0.9*0.15</f>
        <v>0.135</v>
      </c>
    </row>
    <row r="9" ht="25" customHeight="1" spans="2:19">
      <c r="B9" s="24">
        <v>5</v>
      </c>
      <c r="C9" s="24" t="s">
        <v>447</v>
      </c>
      <c r="D9" s="28">
        <v>1</v>
      </c>
      <c r="E9" s="31">
        <v>1</v>
      </c>
      <c r="F9" s="31">
        <v>0.3</v>
      </c>
      <c r="G9" s="46">
        <f t="shared" si="0"/>
        <v>1.6</v>
      </c>
      <c r="H9" s="28">
        <v>0.2</v>
      </c>
      <c r="I9" s="28">
        <v>0.1</v>
      </c>
      <c r="L9" s="161" t="s">
        <v>296</v>
      </c>
      <c r="M9" s="162" t="s">
        <v>297</v>
      </c>
      <c r="N9" s="163">
        <f>0.4*4+0.1*2</f>
        <v>1.8</v>
      </c>
      <c r="Q9" s="161" t="s">
        <v>296</v>
      </c>
      <c r="R9" s="162" t="s">
        <v>297</v>
      </c>
      <c r="S9" s="163">
        <f>0.5*4+0.15*2</f>
        <v>2.3</v>
      </c>
    </row>
    <row r="10" ht="25" customHeight="1" spans="2:19">
      <c r="B10" s="24">
        <v>6</v>
      </c>
      <c r="C10" s="24" t="s">
        <v>514</v>
      </c>
      <c r="D10" s="28">
        <v>1.2</v>
      </c>
      <c r="E10" s="31">
        <v>1</v>
      </c>
      <c r="F10" s="31">
        <v>0.3</v>
      </c>
      <c r="G10" s="46">
        <f t="shared" si="0"/>
        <v>1.8</v>
      </c>
      <c r="H10" s="28">
        <v>0.2</v>
      </c>
      <c r="I10" s="28">
        <v>0.1</v>
      </c>
      <c r="L10" s="164" t="s">
        <v>515</v>
      </c>
      <c r="M10" s="165" t="s">
        <v>297</v>
      </c>
      <c r="N10" s="166">
        <f>(N7+N8)/10</f>
        <v>0.024</v>
      </c>
      <c r="Q10" s="164" t="s">
        <v>515</v>
      </c>
      <c r="R10" s="165" t="s">
        <v>297</v>
      </c>
      <c r="S10" s="166">
        <f>(S7+S8)/10</f>
        <v>0.0335</v>
      </c>
    </row>
    <row r="11" ht="25" customHeight="1" spans="2:9">
      <c r="B11" s="24"/>
      <c r="C11" s="24"/>
      <c r="D11" s="24"/>
      <c r="E11" s="24"/>
      <c r="F11" s="24"/>
      <c r="G11" s="24"/>
      <c r="H11" s="24"/>
      <c r="I11" s="24"/>
    </row>
    <row r="12" ht="30" customHeight="1" spans="11:19">
      <c r="K12" s="157" t="s">
        <v>163</v>
      </c>
      <c r="L12" s="126" t="s">
        <v>516</v>
      </c>
      <c r="M12" s="126"/>
      <c r="N12" s="126"/>
      <c r="O12" s="33"/>
      <c r="P12" s="157" t="s">
        <v>446</v>
      </c>
      <c r="Q12" s="126" t="s">
        <v>517</v>
      </c>
      <c r="R12" s="126"/>
      <c r="S12" s="126"/>
    </row>
    <row r="13" ht="30" customHeight="1" spans="1:19">
      <c r="A13" s="125" t="s">
        <v>518</v>
      </c>
      <c r="B13" s="126"/>
      <c r="C13" s="126"/>
      <c r="D13" s="126"/>
      <c r="E13" s="126"/>
      <c r="F13" s="126"/>
      <c r="G13" s="126"/>
      <c r="H13" s="126"/>
      <c r="I13" s="126"/>
      <c r="J13" s="126"/>
      <c r="L13" s="158" t="s">
        <v>510</v>
      </c>
      <c r="M13" s="159" t="s">
        <v>284</v>
      </c>
      <c r="N13" s="160" t="s">
        <v>511</v>
      </c>
      <c r="O13" s="167"/>
      <c r="P13" s="167"/>
      <c r="Q13" s="158" t="s">
        <v>510</v>
      </c>
      <c r="R13" s="159" t="s">
        <v>284</v>
      </c>
      <c r="S13" s="160" t="s">
        <v>511</v>
      </c>
    </row>
    <row r="14" ht="27" customHeight="1" spans="1:19">
      <c r="A14" s="127" t="s">
        <v>519</v>
      </c>
      <c r="B14" s="128" t="s">
        <v>520</v>
      </c>
      <c r="C14" s="129" t="s">
        <v>521</v>
      </c>
      <c r="D14" s="129" t="s">
        <v>522</v>
      </c>
      <c r="E14" s="129" t="s">
        <v>523</v>
      </c>
      <c r="F14" s="130" t="s">
        <v>285</v>
      </c>
      <c r="G14" s="131" t="s">
        <v>291</v>
      </c>
      <c r="H14" s="129" t="s">
        <v>293</v>
      </c>
      <c r="I14" s="129" t="s">
        <v>524</v>
      </c>
      <c r="J14" s="168" t="s">
        <v>322</v>
      </c>
      <c r="L14" s="161" t="s">
        <v>291</v>
      </c>
      <c r="M14" s="162" t="s">
        <v>292</v>
      </c>
      <c r="N14" s="163">
        <v>0.9363</v>
      </c>
      <c r="O14" s="167"/>
      <c r="P14" s="167"/>
      <c r="Q14" s="161" t="s">
        <v>291</v>
      </c>
      <c r="R14" s="162" t="s">
        <v>292</v>
      </c>
      <c r="S14" s="163">
        <v>1.5096</v>
      </c>
    </row>
    <row r="15" ht="24" customHeight="1" spans="1:19">
      <c r="A15" s="132" t="s">
        <v>525</v>
      </c>
      <c r="B15" s="133" t="s">
        <v>290</v>
      </c>
      <c r="C15" s="134" t="s">
        <v>290</v>
      </c>
      <c r="D15" s="134" t="s">
        <v>290</v>
      </c>
      <c r="E15" s="134" t="s">
        <v>290</v>
      </c>
      <c r="F15" s="134" t="s">
        <v>325</v>
      </c>
      <c r="G15" s="135" t="s">
        <v>526</v>
      </c>
      <c r="H15" s="135" t="s">
        <v>526</v>
      </c>
      <c r="I15" s="135" t="s">
        <v>526</v>
      </c>
      <c r="J15" s="169" t="s">
        <v>290</v>
      </c>
      <c r="L15" s="161" t="s">
        <v>293</v>
      </c>
      <c r="M15" s="162" t="s">
        <v>292</v>
      </c>
      <c r="N15" s="163">
        <v>0.3486</v>
      </c>
      <c r="O15" s="167"/>
      <c r="P15" s="167"/>
      <c r="Q15" s="161" t="s">
        <v>293</v>
      </c>
      <c r="R15" s="162" t="s">
        <v>292</v>
      </c>
      <c r="S15" s="163">
        <v>0.5758</v>
      </c>
    </row>
    <row r="16" ht="24" customHeight="1" spans="1:19">
      <c r="A16" s="136" t="s">
        <v>527</v>
      </c>
      <c r="B16" s="137">
        <v>1</v>
      </c>
      <c r="C16" s="80">
        <v>0.2</v>
      </c>
      <c r="D16" s="80">
        <v>0.04</v>
      </c>
      <c r="E16" s="80">
        <v>0.15</v>
      </c>
      <c r="F16" s="137">
        <v>1</v>
      </c>
      <c r="G16" s="138">
        <f t="shared" ref="G16:G22" si="1">(((C16+D16+0.2)*2*2+(0.15+0.3+(C16+D16)*2)*0.4*2)*(E16+0.3+(C16+D16)*2)/2)*B16*F16</f>
        <v>1.16436</v>
      </c>
      <c r="H16" s="138">
        <f>G16-I16-PI()*(C16+D16)^2*B16*F16</f>
        <v>0.83518131047316</v>
      </c>
      <c r="I16" s="138">
        <f t="shared" ref="I16:I22" si="2">((C16+D16+0.1)*2*(E16+(C16+D16)/2)-PI()*(C16+D16)^2/3+((C16+D16)/2)^2*SQRT(3))*B16*F16</f>
        <v>0.148222952680068</v>
      </c>
      <c r="J16" s="170">
        <f t="shared" ref="J16:J22" si="3">B16*F16</f>
        <v>1</v>
      </c>
      <c r="L16" s="161" t="s">
        <v>512</v>
      </c>
      <c r="M16" s="162" t="s">
        <v>292</v>
      </c>
      <c r="N16" s="163">
        <f>E7*F7*2</f>
        <v>0.3</v>
      </c>
      <c r="O16" s="167"/>
      <c r="P16" s="167"/>
      <c r="Q16" s="161" t="s">
        <v>512</v>
      </c>
      <c r="R16" s="162" t="s">
        <v>292</v>
      </c>
      <c r="S16" s="163">
        <f>E8*F8*2</f>
        <v>0.4</v>
      </c>
    </row>
    <row r="17" ht="24" customHeight="1" spans="1:19">
      <c r="A17" s="136" t="s">
        <v>528</v>
      </c>
      <c r="B17" s="137">
        <v>1</v>
      </c>
      <c r="C17" s="80">
        <v>0.25</v>
      </c>
      <c r="D17" s="80">
        <v>0.05</v>
      </c>
      <c r="E17" s="80">
        <v>0.15</v>
      </c>
      <c r="F17" s="137">
        <v>1</v>
      </c>
      <c r="G17" s="138">
        <f t="shared" si="1"/>
        <v>1.491</v>
      </c>
      <c r="H17" s="138">
        <v>1.2244</v>
      </c>
      <c r="I17" s="138">
        <f t="shared" si="2"/>
        <v>0.184723363562606</v>
      </c>
      <c r="J17" s="170">
        <f t="shared" si="3"/>
        <v>1</v>
      </c>
      <c r="L17" s="161" t="s">
        <v>513</v>
      </c>
      <c r="M17" s="162" t="s">
        <v>292</v>
      </c>
      <c r="N17" s="163">
        <f>G7*H7</f>
        <v>0.198</v>
      </c>
      <c r="O17" s="167"/>
      <c r="P17" s="167"/>
      <c r="Q17" s="161" t="s">
        <v>513</v>
      </c>
      <c r="R17" s="162" t="s">
        <v>292</v>
      </c>
      <c r="S17" s="163">
        <f>G8*H8</f>
        <v>0.26</v>
      </c>
    </row>
    <row r="18" ht="24" customHeight="1" spans="1:19">
      <c r="A18" s="136" t="s">
        <v>529</v>
      </c>
      <c r="B18" s="137">
        <v>1</v>
      </c>
      <c r="C18" s="80">
        <v>0.3</v>
      </c>
      <c r="D18" s="80">
        <v>0.06</v>
      </c>
      <c r="E18" s="80">
        <v>0.15</v>
      </c>
      <c r="F18" s="137">
        <v>1</v>
      </c>
      <c r="G18" s="138">
        <f t="shared" si="1"/>
        <v>1.85796</v>
      </c>
      <c r="H18" s="138">
        <v>1.1869</v>
      </c>
      <c r="I18" s="138">
        <f t="shared" si="2"/>
        <v>0.224001643530153</v>
      </c>
      <c r="J18" s="170">
        <f t="shared" si="3"/>
        <v>1</v>
      </c>
      <c r="L18" s="161" t="s">
        <v>296</v>
      </c>
      <c r="M18" s="162" t="s">
        <v>297</v>
      </c>
      <c r="N18" s="163">
        <f>0.6*4+0.18*2</f>
        <v>2.76</v>
      </c>
      <c r="O18" s="167"/>
      <c r="P18" s="167"/>
      <c r="Q18" s="161" t="s">
        <v>296</v>
      </c>
      <c r="R18" s="162" t="s">
        <v>297</v>
      </c>
      <c r="S18" s="163">
        <f>0.8*4+0.2*2</f>
        <v>3.6</v>
      </c>
    </row>
    <row r="19" ht="24" customHeight="1" spans="1:19">
      <c r="A19" s="139" t="s">
        <v>530</v>
      </c>
      <c r="B19" s="137">
        <v>1</v>
      </c>
      <c r="C19" s="80">
        <v>0.4</v>
      </c>
      <c r="D19" s="80">
        <v>0.08</v>
      </c>
      <c r="E19" s="80">
        <v>0.15</v>
      </c>
      <c r="F19" s="137">
        <v>1</v>
      </c>
      <c r="G19" s="138">
        <f t="shared" si="1"/>
        <v>2.71284</v>
      </c>
      <c r="H19" s="138">
        <f t="shared" ref="H19:H22" si="4">G19-(3.14*(C19+D19)*(C19+D19)+((C19+D19)*2+0.1*2)*E19)*B19*F19</f>
        <v>1.815384</v>
      </c>
      <c r="I19" s="138">
        <f t="shared" si="2"/>
        <v>0.310891810720271</v>
      </c>
      <c r="J19" s="170">
        <f t="shared" si="3"/>
        <v>1</v>
      </c>
      <c r="L19" s="161" t="s">
        <v>310</v>
      </c>
      <c r="M19" s="162" t="s">
        <v>292</v>
      </c>
      <c r="N19" s="163">
        <f>G7*0.1</f>
        <v>0.11</v>
      </c>
      <c r="O19" s="167"/>
      <c r="P19" s="167"/>
      <c r="Q19" s="161" t="s">
        <v>310</v>
      </c>
      <c r="R19" s="162" t="s">
        <v>292</v>
      </c>
      <c r="S19" s="163">
        <f>G8*0.1</f>
        <v>0.13</v>
      </c>
    </row>
    <row r="20" ht="24" customHeight="1" spans="1:19">
      <c r="A20" s="139" t="s">
        <v>531</v>
      </c>
      <c r="B20" s="137">
        <v>1</v>
      </c>
      <c r="C20" s="80">
        <v>0.5</v>
      </c>
      <c r="D20" s="80">
        <v>0.1</v>
      </c>
      <c r="E20" s="80">
        <v>0.15</v>
      </c>
      <c r="F20" s="137">
        <v>1</v>
      </c>
      <c r="G20" s="138">
        <f t="shared" si="1"/>
        <v>3.729</v>
      </c>
      <c r="H20" s="138">
        <f t="shared" si="4"/>
        <v>2.3886</v>
      </c>
      <c r="I20" s="138">
        <f t="shared" si="2"/>
        <v>0.408893454250424</v>
      </c>
      <c r="J20" s="170">
        <f t="shared" si="3"/>
        <v>1</v>
      </c>
      <c r="L20" s="164" t="s">
        <v>515</v>
      </c>
      <c r="M20" s="165" t="s">
        <v>297</v>
      </c>
      <c r="N20" s="166">
        <f>(N16+N17)/10</f>
        <v>0.0498</v>
      </c>
      <c r="O20" s="167"/>
      <c r="P20" s="167"/>
      <c r="Q20" s="161" t="s">
        <v>515</v>
      </c>
      <c r="R20" s="162" t="s">
        <v>297</v>
      </c>
      <c r="S20" s="163">
        <f>(S16+S17)/10</f>
        <v>0.066</v>
      </c>
    </row>
    <row r="21" ht="24" customHeight="1" spans="1:19">
      <c r="A21" s="139" t="s">
        <v>532</v>
      </c>
      <c r="B21" s="137">
        <v>1</v>
      </c>
      <c r="C21" s="80">
        <v>0.6</v>
      </c>
      <c r="D21" s="80">
        <v>0.12</v>
      </c>
      <c r="E21" s="80">
        <v>0.15</v>
      </c>
      <c r="F21" s="137">
        <v>1</v>
      </c>
      <c r="G21" s="138">
        <f t="shared" si="1"/>
        <v>4.90644</v>
      </c>
      <c r="H21" s="138">
        <f t="shared" si="4"/>
        <v>3.032664</v>
      </c>
      <c r="I21" s="138">
        <f t="shared" si="2"/>
        <v>0.51800657412061</v>
      </c>
      <c r="J21" s="170">
        <f t="shared" si="3"/>
        <v>1</v>
      </c>
      <c r="L21" s="171"/>
      <c r="M21" s="171"/>
      <c r="N21" s="171"/>
      <c r="O21" s="167"/>
      <c r="P21" s="167"/>
      <c r="Q21" s="164" t="s">
        <v>319</v>
      </c>
      <c r="R21" s="174" t="s">
        <v>290</v>
      </c>
      <c r="S21" s="176">
        <v>0.25</v>
      </c>
    </row>
    <row r="22" ht="24" customHeight="1" spans="1:10">
      <c r="A22" s="140" t="s">
        <v>533</v>
      </c>
      <c r="B22" s="141">
        <v>1</v>
      </c>
      <c r="C22" s="84">
        <v>0.75</v>
      </c>
      <c r="D22" s="84">
        <v>0.15</v>
      </c>
      <c r="E22" s="84">
        <v>0.15</v>
      </c>
      <c r="F22" s="141">
        <v>1</v>
      </c>
      <c r="G22" s="142">
        <f t="shared" si="1"/>
        <v>6.975</v>
      </c>
      <c r="H22" s="142">
        <f t="shared" si="4"/>
        <v>4.1316</v>
      </c>
      <c r="I22" s="142">
        <f t="shared" si="2"/>
        <v>0.702510272063453</v>
      </c>
      <c r="J22" s="172">
        <f t="shared" si="3"/>
        <v>1</v>
      </c>
    </row>
    <row r="23" ht="30" customHeight="1" spans="1:19">
      <c r="A23" s="143" t="s">
        <v>534</v>
      </c>
      <c r="B23" s="144"/>
      <c r="C23" s="144"/>
      <c r="D23" s="144"/>
      <c r="E23" s="145"/>
      <c r="F23" s="146">
        <f t="shared" ref="F23:J23" si="5">SUM(F16:F20)</f>
        <v>5</v>
      </c>
      <c r="G23" s="147">
        <f t="shared" si="5"/>
        <v>10.95516</v>
      </c>
      <c r="H23" s="147">
        <f t="shared" si="5"/>
        <v>7.45046531047316</v>
      </c>
      <c r="I23" s="147">
        <f t="shared" si="5"/>
        <v>1.27673322474352</v>
      </c>
      <c r="J23" s="146">
        <f t="shared" si="5"/>
        <v>5</v>
      </c>
      <c r="K23" s="157" t="s">
        <v>447</v>
      </c>
      <c r="L23" s="126" t="s">
        <v>535</v>
      </c>
      <c r="M23" s="126"/>
      <c r="N23" s="126"/>
      <c r="P23" s="157" t="s">
        <v>514</v>
      </c>
      <c r="Q23" s="126" t="s">
        <v>536</v>
      </c>
      <c r="R23" s="126"/>
      <c r="S23" s="126"/>
    </row>
    <row r="24" ht="30" customHeight="1" spans="1:19">
      <c r="A24" s="148"/>
      <c r="B24" s="149"/>
      <c r="C24" s="150"/>
      <c r="D24" s="150"/>
      <c r="E24" s="150"/>
      <c r="F24" s="150"/>
      <c r="G24" s="151"/>
      <c r="H24" s="150"/>
      <c r="I24" s="150"/>
      <c r="J24" s="150"/>
      <c r="L24" s="158" t="s">
        <v>510</v>
      </c>
      <c r="M24" s="159" t="s">
        <v>284</v>
      </c>
      <c r="N24" s="160" t="s">
        <v>511</v>
      </c>
      <c r="O24" s="167"/>
      <c r="P24" s="167"/>
      <c r="Q24" s="158" t="s">
        <v>510</v>
      </c>
      <c r="R24" s="159" t="s">
        <v>284</v>
      </c>
      <c r="S24" s="160" t="s">
        <v>511</v>
      </c>
    </row>
    <row r="25" ht="25" customHeight="1" spans="1:19">
      <c r="A25" s="152" t="s">
        <v>537</v>
      </c>
      <c r="B25" s="153">
        <v>2</v>
      </c>
      <c r="C25" s="154">
        <v>0.15</v>
      </c>
      <c r="D25" s="154">
        <v>0.03</v>
      </c>
      <c r="E25" s="154">
        <v>0.15</v>
      </c>
      <c r="F25" s="153">
        <v>1</v>
      </c>
      <c r="G25" s="155">
        <f>(((C25+D25+0.2)*2*2+(0.15+0.3+(C25+D25)*2)*0.4*2)*(E25+0.3+(C25+D25)*2)/2)*B25*F25</f>
        <v>1.75608</v>
      </c>
      <c r="H25" s="155">
        <f>G25-I25-PI()*(C25+D25)^2*B25*F25</f>
        <v>1.32350397428231</v>
      </c>
      <c r="I25" s="155">
        <f>((C25+D25+0.1)*2*(E25+(C25+D25)/2)-PI()*(C25+D25)^2/3+((C25+D25)/2)^2*SQRT(3))*B25*F25</f>
        <v>0.229000821765076</v>
      </c>
      <c r="J25" s="173">
        <f>B25*F25</f>
        <v>2</v>
      </c>
      <c r="L25" s="161" t="s">
        <v>291</v>
      </c>
      <c r="M25" s="162" t="s">
        <v>292</v>
      </c>
      <c r="N25" s="163">
        <v>2.1702</v>
      </c>
      <c r="O25" s="167"/>
      <c r="P25" s="167"/>
      <c r="Q25" s="161" t="s">
        <v>291</v>
      </c>
      <c r="R25" s="162" t="s">
        <v>292</v>
      </c>
      <c r="S25" s="163">
        <v>2.2437</v>
      </c>
    </row>
    <row r="26" ht="25" customHeight="1" spans="12:19">
      <c r="L26" s="161" t="s">
        <v>293</v>
      </c>
      <c r="M26" s="162" t="s">
        <v>292</v>
      </c>
      <c r="N26" s="163">
        <v>0.8</v>
      </c>
      <c r="O26" s="167"/>
      <c r="P26" s="167"/>
      <c r="Q26" s="161" t="s">
        <v>293</v>
      </c>
      <c r="R26" s="162" t="s">
        <v>292</v>
      </c>
      <c r="S26" s="163">
        <v>0.8</v>
      </c>
    </row>
    <row r="27" ht="25" customHeight="1" spans="12:19">
      <c r="L27" s="161" t="s">
        <v>512</v>
      </c>
      <c r="M27" s="162" t="s">
        <v>292</v>
      </c>
      <c r="N27" s="163">
        <f>E9*F9*2</f>
        <v>0.6</v>
      </c>
      <c r="O27" s="167"/>
      <c r="P27" s="167"/>
      <c r="Q27" s="161" t="s">
        <v>512</v>
      </c>
      <c r="R27" s="162" t="s">
        <v>292</v>
      </c>
      <c r="S27" s="163">
        <f>E10*F10*2</f>
        <v>0.6</v>
      </c>
    </row>
    <row r="28" ht="25" customHeight="1" spans="12:19">
      <c r="L28" s="161" t="s">
        <v>513</v>
      </c>
      <c r="M28" s="162" t="s">
        <v>292</v>
      </c>
      <c r="N28" s="163">
        <f>G9*H9</f>
        <v>0.32</v>
      </c>
      <c r="O28" s="167"/>
      <c r="P28" s="167"/>
      <c r="Q28" s="161" t="s">
        <v>513</v>
      </c>
      <c r="R28" s="162" t="s">
        <v>292</v>
      </c>
      <c r="S28" s="163">
        <f>G10*H10</f>
        <v>0.36</v>
      </c>
    </row>
    <row r="29" ht="25" customHeight="1" spans="12:19">
      <c r="L29" s="161" t="s">
        <v>296</v>
      </c>
      <c r="M29" s="162" t="s">
        <v>297</v>
      </c>
      <c r="N29" s="163">
        <f>1*4+0.2*2</f>
        <v>4.4</v>
      </c>
      <c r="O29" s="167"/>
      <c r="P29" s="167"/>
      <c r="Q29" s="161" t="s">
        <v>296</v>
      </c>
      <c r="R29" s="162" t="s">
        <v>297</v>
      </c>
      <c r="S29" s="163">
        <f>1*4+0.2*2</f>
        <v>4.4</v>
      </c>
    </row>
    <row r="30" ht="25" customHeight="1" spans="12:19">
      <c r="L30" s="161" t="s">
        <v>310</v>
      </c>
      <c r="M30" s="162" t="s">
        <v>292</v>
      </c>
      <c r="N30" s="163">
        <f>G9*0.1</f>
        <v>0.16</v>
      </c>
      <c r="O30" s="167"/>
      <c r="P30" s="167"/>
      <c r="Q30" s="161" t="s">
        <v>310</v>
      </c>
      <c r="R30" s="162" t="s">
        <v>292</v>
      </c>
      <c r="S30" s="163">
        <f>G10*0.1</f>
        <v>0.18</v>
      </c>
    </row>
    <row r="31" ht="25" customHeight="1" spans="12:19">
      <c r="L31" s="161" t="s">
        <v>515</v>
      </c>
      <c r="M31" s="162" t="s">
        <v>297</v>
      </c>
      <c r="N31" s="163">
        <f>(N27+N28)/10</f>
        <v>0.092</v>
      </c>
      <c r="O31" s="167"/>
      <c r="P31" s="167"/>
      <c r="Q31" s="161" t="s">
        <v>515</v>
      </c>
      <c r="R31" s="162" t="s">
        <v>297</v>
      </c>
      <c r="S31" s="163">
        <f>(S27+S28)/10</f>
        <v>0.096</v>
      </c>
    </row>
    <row r="32" ht="25" customHeight="1" spans="12:19">
      <c r="L32" s="164" t="s">
        <v>319</v>
      </c>
      <c r="M32" s="174" t="s">
        <v>290</v>
      </c>
      <c r="N32" s="175">
        <v>0.3</v>
      </c>
      <c r="O32" s="167"/>
      <c r="P32" s="167"/>
      <c r="Q32" s="164" t="s">
        <v>319</v>
      </c>
      <c r="R32" s="174" t="s">
        <v>290</v>
      </c>
      <c r="S32" s="175">
        <v>0.3</v>
      </c>
    </row>
    <row r="33" ht="25" customHeight="1"/>
  </sheetData>
  <mergeCells count="12">
    <mergeCell ref="B2:I2"/>
    <mergeCell ref="D3:I3"/>
    <mergeCell ref="L3:N3"/>
    <mergeCell ref="Q3:S3"/>
    <mergeCell ref="L12:N12"/>
    <mergeCell ref="Q12:S12"/>
    <mergeCell ref="A13:J13"/>
    <mergeCell ref="A23:E23"/>
    <mergeCell ref="L23:N23"/>
    <mergeCell ref="Q23:S23"/>
    <mergeCell ref="B3:B4"/>
    <mergeCell ref="C3:C4"/>
  </mergeCells>
  <pageMargins left="0.75" right="0.75" top="1" bottom="1" header="0.5" footer="0.5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W41"/>
  <sheetViews>
    <sheetView topLeftCell="A13" workbookViewId="0">
      <selection activeCell="H39" sqref="H39"/>
    </sheetView>
  </sheetViews>
  <sheetFormatPr defaultColWidth="9" defaultRowHeight="11.25"/>
  <cols>
    <col min="1" max="1" width="4.375" style="48" customWidth="1"/>
    <col min="2" max="2" width="4.75" style="48" customWidth="1"/>
    <col min="3" max="3" width="12.75" style="48" customWidth="1"/>
    <col min="4" max="9" width="5.625" style="48" customWidth="1"/>
    <col min="10" max="11" width="6.625" style="48" customWidth="1"/>
    <col min="12" max="12" width="12.375" style="48" customWidth="1"/>
    <col min="13" max="20" width="8.625" style="48" customWidth="1"/>
    <col min="21" max="21" width="6.625" style="48" customWidth="1"/>
    <col min="22" max="22" width="8.5" style="48" customWidth="1"/>
    <col min="23" max="16384" width="9" style="48"/>
  </cols>
  <sheetData>
    <row r="2" s="33" customFormat="1" ht="25" customHeight="1" spans="2:22">
      <c r="B2" s="49" t="s">
        <v>498</v>
      </c>
      <c r="C2" s="49"/>
      <c r="D2" s="49"/>
      <c r="E2" s="49"/>
      <c r="F2" s="49"/>
      <c r="G2" s="49"/>
      <c r="H2" s="49"/>
      <c r="I2" s="49"/>
      <c r="J2" s="48"/>
      <c r="K2" s="50" t="s">
        <v>538</v>
      </c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="33" customFormat="1" ht="20" customHeight="1" spans="2:23">
      <c r="B3" s="24" t="s">
        <v>2</v>
      </c>
      <c r="C3" s="24" t="s">
        <v>499</v>
      </c>
      <c r="D3" s="25" t="s">
        <v>500</v>
      </c>
      <c r="E3" s="25"/>
      <c r="F3" s="25"/>
      <c r="G3" s="25"/>
      <c r="H3" s="25"/>
      <c r="I3" s="25"/>
      <c r="J3" s="48"/>
      <c r="K3" s="51" t="s">
        <v>2</v>
      </c>
      <c r="L3" s="52" t="s">
        <v>539</v>
      </c>
      <c r="M3" s="53" t="s">
        <v>540</v>
      </c>
      <c r="N3" s="53"/>
      <c r="O3" s="54" t="s">
        <v>541</v>
      </c>
      <c r="P3" s="55" t="s">
        <v>542</v>
      </c>
      <c r="Q3" s="90" t="s">
        <v>543</v>
      </c>
      <c r="R3" s="90" t="s">
        <v>544</v>
      </c>
      <c r="S3" s="90" t="s">
        <v>285</v>
      </c>
      <c r="T3" s="90" t="s">
        <v>545</v>
      </c>
      <c r="U3" s="91" t="s">
        <v>546</v>
      </c>
      <c r="V3" s="92" t="s">
        <v>547</v>
      </c>
      <c r="W3" s="93"/>
    </row>
    <row r="4" ht="20" customHeight="1" spans="2:23">
      <c r="B4" s="24"/>
      <c r="C4" s="24"/>
      <c r="D4" s="24" t="s">
        <v>504</v>
      </c>
      <c r="E4" s="24" t="s">
        <v>505</v>
      </c>
      <c r="F4" s="24" t="s">
        <v>506</v>
      </c>
      <c r="G4" s="24" t="s">
        <v>507</v>
      </c>
      <c r="H4" s="24" t="s">
        <v>508</v>
      </c>
      <c r="I4" s="24" t="s">
        <v>509</v>
      </c>
      <c r="K4" s="56"/>
      <c r="L4" s="57"/>
      <c r="M4" s="58" t="s">
        <v>548</v>
      </c>
      <c r="N4" s="58" t="s">
        <v>549</v>
      </c>
      <c r="O4" s="59"/>
      <c r="P4" s="60"/>
      <c r="Q4" s="94" t="s">
        <v>471</v>
      </c>
      <c r="R4" s="94" t="s">
        <v>471</v>
      </c>
      <c r="S4" s="94" t="s">
        <v>550</v>
      </c>
      <c r="T4" s="94" t="s">
        <v>551</v>
      </c>
      <c r="U4" s="95" t="s">
        <v>552</v>
      </c>
      <c r="V4" s="96" t="s">
        <v>552</v>
      </c>
      <c r="W4" s="97"/>
    </row>
    <row r="5" ht="20" customHeight="1" spans="2:23">
      <c r="B5" s="24">
        <v>1</v>
      </c>
      <c r="C5" s="24" t="s">
        <v>501</v>
      </c>
      <c r="D5" s="28">
        <v>0.4</v>
      </c>
      <c r="E5" s="28">
        <v>0.4</v>
      </c>
      <c r="F5" s="28">
        <v>0.2</v>
      </c>
      <c r="G5" s="28">
        <f t="shared" ref="G5:G10" si="0">D5+F5+F5</f>
        <v>0.8</v>
      </c>
      <c r="H5" s="28">
        <v>0.1</v>
      </c>
      <c r="I5" s="28">
        <v>0</v>
      </c>
      <c r="K5" s="56">
        <v>1</v>
      </c>
      <c r="L5" s="61" t="s">
        <v>553</v>
      </c>
      <c r="M5" s="62">
        <v>0.4</v>
      </c>
      <c r="N5" s="62">
        <v>0.2</v>
      </c>
      <c r="O5" s="59" t="s">
        <v>554</v>
      </c>
      <c r="P5" s="63"/>
      <c r="Q5" s="57">
        <v>12</v>
      </c>
      <c r="R5" s="57">
        <f t="shared" ref="R5:R9" si="1">3000-25*2+6.25*12*2</f>
        <v>3100</v>
      </c>
      <c r="S5" s="57">
        <v>16</v>
      </c>
      <c r="T5" s="57">
        <v>0.888</v>
      </c>
      <c r="U5" s="98">
        <f t="shared" ref="U5:U24" si="2">R5/1000*S5*T5</f>
        <v>44.0448</v>
      </c>
      <c r="V5" s="99">
        <f t="shared" ref="V5:V9" si="3">U5+U6</f>
        <v>122.4128</v>
      </c>
      <c r="W5" s="97"/>
    </row>
    <row r="6" ht="20" customHeight="1" spans="2:23">
      <c r="B6" s="24">
        <v>2</v>
      </c>
      <c r="C6" s="24" t="s">
        <v>444</v>
      </c>
      <c r="D6" s="28">
        <v>0.5</v>
      </c>
      <c r="E6" s="28">
        <v>0.5</v>
      </c>
      <c r="F6" s="28">
        <v>0.2</v>
      </c>
      <c r="G6" s="28">
        <f t="shared" si="0"/>
        <v>0.9</v>
      </c>
      <c r="H6" s="28">
        <v>0.15</v>
      </c>
      <c r="I6" s="28">
        <v>0</v>
      </c>
      <c r="K6" s="56"/>
      <c r="L6" s="61"/>
      <c r="M6" s="62"/>
      <c r="N6" s="62"/>
      <c r="O6" s="61" t="s">
        <v>555</v>
      </c>
      <c r="P6" s="63"/>
      <c r="Q6" s="57">
        <v>16</v>
      </c>
      <c r="R6" s="57">
        <f>(M5+N5*2)*1000+600-50+6.25*16*2</f>
        <v>1550</v>
      </c>
      <c r="S6" s="57">
        <v>32</v>
      </c>
      <c r="T6" s="100">
        <v>1.58</v>
      </c>
      <c r="U6" s="98">
        <f t="shared" si="2"/>
        <v>78.368</v>
      </c>
      <c r="V6" s="99"/>
      <c r="W6" s="97"/>
    </row>
    <row r="7" ht="20" customHeight="1" spans="2:23">
      <c r="B7" s="24">
        <v>3</v>
      </c>
      <c r="C7" s="24" t="s">
        <v>163</v>
      </c>
      <c r="D7" s="28">
        <v>0.6</v>
      </c>
      <c r="E7" s="28">
        <v>0.6</v>
      </c>
      <c r="F7" s="31">
        <v>0.25</v>
      </c>
      <c r="G7" s="46">
        <f t="shared" si="0"/>
        <v>1.1</v>
      </c>
      <c r="H7" s="28">
        <v>0.18</v>
      </c>
      <c r="I7" s="28">
        <v>0.1</v>
      </c>
      <c r="K7" s="56">
        <v>2</v>
      </c>
      <c r="L7" s="61" t="s">
        <v>556</v>
      </c>
      <c r="M7" s="62">
        <v>0.5</v>
      </c>
      <c r="N7" s="62">
        <v>0.2</v>
      </c>
      <c r="O7" s="59" t="s">
        <v>554</v>
      </c>
      <c r="P7" s="63"/>
      <c r="Q7" s="57">
        <v>12</v>
      </c>
      <c r="R7" s="57">
        <f t="shared" si="1"/>
        <v>3100</v>
      </c>
      <c r="S7" s="57">
        <v>16</v>
      </c>
      <c r="T7" s="57">
        <v>0.888</v>
      </c>
      <c r="U7" s="98">
        <f t="shared" si="2"/>
        <v>44.0448</v>
      </c>
      <c r="V7" s="99">
        <f t="shared" si="3"/>
        <v>127.4688</v>
      </c>
      <c r="W7" s="97"/>
    </row>
    <row r="8" ht="20" customHeight="1" spans="2:23">
      <c r="B8" s="24">
        <v>4</v>
      </c>
      <c r="C8" s="24" t="s">
        <v>446</v>
      </c>
      <c r="D8" s="28">
        <v>0.8</v>
      </c>
      <c r="E8" s="28">
        <v>0.8</v>
      </c>
      <c r="F8" s="31">
        <v>0.25</v>
      </c>
      <c r="G8" s="46">
        <f t="shared" si="0"/>
        <v>1.3</v>
      </c>
      <c r="H8" s="28">
        <v>0.2</v>
      </c>
      <c r="I8" s="28">
        <v>0.1</v>
      </c>
      <c r="K8" s="56"/>
      <c r="L8" s="61"/>
      <c r="M8" s="62"/>
      <c r="N8" s="62"/>
      <c r="O8" s="61" t="s">
        <v>555</v>
      </c>
      <c r="P8" s="63"/>
      <c r="Q8" s="57">
        <v>16</v>
      </c>
      <c r="R8" s="57">
        <f>(M7+N7*2)*1000+600-50+6.25*16*2</f>
        <v>1650</v>
      </c>
      <c r="S8" s="57">
        <v>32</v>
      </c>
      <c r="T8" s="100">
        <v>1.58</v>
      </c>
      <c r="U8" s="98">
        <f t="shared" si="2"/>
        <v>83.424</v>
      </c>
      <c r="V8" s="99"/>
      <c r="W8" s="97"/>
    </row>
    <row r="9" ht="20" customHeight="1" spans="2:23">
      <c r="B9" s="24">
        <v>5</v>
      </c>
      <c r="C9" s="24" t="s">
        <v>447</v>
      </c>
      <c r="D9" s="28">
        <v>1</v>
      </c>
      <c r="E9" s="28">
        <v>1</v>
      </c>
      <c r="F9" s="31">
        <v>0.3</v>
      </c>
      <c r="G9" s="46">
        <f t="shared" si="0"/>
        <v>1.6</v>
      </c>
      <c r="H9" s="28">
        <v>0.2</v>
      </c>
      <c r="I9" s="28">
        <v>0.1</v>
      </c>
      <c r="K9" s="56">
        <v>3</v>
      </c>
      <c r="L9" s="61" t="s">
        <v>557</v>
      </c>
      <c r="M9" s="62">
        <v>0.6</v>
      </c>
      <c r="N9" s="62">
        <v>0.25</v>
      </c>
      <c r="O9" s="59" t="s">
        <v>554</v>
      </c>
      <c r="P9" s="63"/>
      <c r="Q9" s="57">
        <v>12</v>
      </c>
      <c r="R9" s="57">
        <f t="shared" si="1"/>
        <v>3100</v>
      </c>
      <c r="S9" s="57">
        <v>18</v>
      </c>
      <c r="T9" s="57">
        <v>0.888</v>
      </c>
      <c r="U9" s="98">
        <f t="shared" si="2"/>
        <v>49.5504</v>
      </c>
      <c r="V9" s="99">
        <f t="shared" si="3"/>
        <v>143.0864</v>
      </c>
      <c r="W9" s="97"/>
    </row>
    <row r="10" ht="20" customHeight="1" spans="2:23">
      <c r="B10" s="24">
        <v>6</v>
      </c>
      <c r="C10" s="24" t="s">
        <v>514</v>
      </c>
      <c r="D10" s="28">
        <v>1.2</v>
      </c>
      <c r="E10" s="28">
        <v>1</v>
      </c>
      <c r="F10" s="31">
        <v>0.3</v>
      </c>
      <c r="G10" s="46">
        <f t="shared" si="0"/>
        <v>1.8</v>
      </c>
      <c r="H10" s="28">
        <v>0.2</v>
      </c>
      <c r="I10" s="28">
        <v>0.1</v>
      </c>
      <c r="K10" s="56"/>
      <c r="L10" s="61"/>
      <c r="M10" s="62"/>
      <c r="N10" s="62"/>
      <c r="O10" s="61" t="s">
        <v>555</v>
      </c>
      <c r="P10" s="63"/>
      <c r="Q10" s="57">
        <v>16</v>
      </c>
      <c r="R10" s="57">
        <f>(M9+N9*2)*1000+600-50+6.25*16*2</f>
        <v>1850</v>
      </c>
      <c r="S10" s="57">
        <v>32</v>
      </c>
      <c r="T10" s="100">
        <v>1.58</v>
      </c>
      <c r="U10" s="98">
        <f t="shared" si="2"/>
        <v>93.536</v>
      </c>
      <c r="V10" s="99"/>
      <c r="W10" s="97"/>
    </row>
    <row r="11" ht="20" customHeight="1" spans="2:23">
      <c r="B11" s="24"/>
      <c r="C11" s="24"/>
      <c r="D11" s="24"/>
      <c r="E11" s="24"/>
      <c r="F11" s="24"/>
      <c r="G11" s="24"/>
      <c r="H11" s="24"/>
      <c r="I11" s="24"/>
      <c r="K11" s="56">
        <v>4</v>
      </c>
      <c r="L11" s="61" t="s">
        <v>558</v>
      </c>
      <c r="M11" s="62">
        <v>0.8</v>
      </c>
      <c r="N11" s="62">
        <v>0.25</v>
      </c>
      <c r="O11" s="59" t="s">
        <v>554</v>
      </c>
      <c r="P11" s="63"/>
      <c r="Q11" s="57">
        <v>12</v>
      </c>
      <c r="R11" s="57">
        <f t="shared" ref="R11:R15" si="4">3000-25*2+6.25*12*2</f>
        <v>3100</v>
      </c>
      <c r="S11" s="57">
        <v>20</v>
      </c>
      <c r="T11" s="57">
        <v>0.888</v>
      </c>
      <c r="U11" s="98">
        <f t="shared" si="2"/>
        <v>55.056</v>
      </c>
      <c r="V11" s="99">
        <f t="shared" ref="V11:V15" si="5">U11+U12</f>
        <v>158.704</v>
      </c>
      <c r="W11" s="97"/>
    </row>
    <row r="12" ht="20" customHeight="1" spans="11:23">
      <c r="K12" s="56"/>
      <c r="L12" s="61"/>
      <c r="M12" s="62"/>
      <c r="N12" s="62"/>
      <c r="O12" s="61" t="s">
        <v>555</v>
      </c>
      <c r="P12" s="63"/>
      <c r="Q12" s="57">
        <v>16</v>
      </c>
      <c r="R12" s="57">
        <f>(M11+N11*2)*1000+600-50+6.25*16*2</f>
        <v>2050</v>
      </c>
      <c r="S12" s="57">
        <v>32</v>
      </c>
      <c r="T12" s="100">
        <v>1.58</v>
      </c>
      <c r="U12" s="98">
        <f t="shared" si="2"/>
        <v>103.648</v>
      </c>
      <c r="V12" s="99"/>
      <c r="W12" s="97"/>
    </row>
    <row r="13" ht="20" customHeight="1" spans="11:23">
      <c r="K13" s="56">
        <v>5</v>
      </c>
      <c r="L13" s="61" t="s">
        <v>559</v>
      </c>
      <c r="M13" s="62">
        <v>1</v>
      </c>
      <c r="N13" s="62">
        <v>0.3</v>
      </c>
      <c r="O13" s="59" t="s">
        <v>554</v>
      </c>
      <c r="P13" s="63"/>
      <c r="Q13" s="57">
        <v>12</v>
      </c>
      <c r="R13" s="57">
        <f t="shared" si="4"/>
        <v>3100</v>
      </c>
      <c r="S13" s="57">
        <v>22</v>
      </c>
      <c r="T13" s="57">
        <v>0.888</v>
      </c>
      <c r="U13" s="98">
        <f t="shared" si="2"/>
        <v>60.5616</v>
      </c>
      <c r="V13" s="99">
        <f t="shared" si="5"/>
        <v>179.3776</v>
      </c>
      <c r="W13" s="97"/>
    </row>
    <row r="14" ht="20" customHeight="1" spans="11:23">
      <c r="K14" s="56"/>
      <c r="L14" s="61"/>
      <c r="M14" s="62"/>
      <c r="N14" s="62"/>
      <c r="O14" s="61" t="s">
        <v>555</v>
      </c>
      <c r="P14" s="63"/>
      <c r="Q14" s="57">
        <v>16</v>
      </c>
      <c r="R14" s="57">
        <f>(M13+N13*2)*1000+600-50+6.25*16*2</f>
        <v>2350</v>
      </c>
      <c r="S14" s="57">
        <v>32</v>
      </c>
      <c r="T14" s="100">
        <v>1.58</v>
      </c>
      <c r="U14" s="98">
        <f t="shared" si="2"/>
        <v>118.816</v>
      </c>
      <c r="V14" s="99"/>
      <c r="W14" s="97"/>
    </row>
    <row r="15" ht="20" customHeight="1" spans="11:23">
      <c r="K15" s="56">
        <v>6</v>
      </c>
      <c r="L15" s="61" t="s">
        <v>560</v>
      </c>
      <c r="M15" s="62">
        <v>1.2</v>
      </c>
      <c r="N15" s="62">
        <v>0.3</v>
      </c>
      <c r="O15" s="59" t="s">
        <v>554</v>
      </c>
      <c r="P15" s="63"/>
      <c r="Q15" s="57">
        <v>12</v>
      </c>
      <c r="R15" s="57">
        <f t="shared" si="4"/>
        <v>3100</v>
      </c>
      <c r="S15" s="57">
        <v>24</v>
      </c>
      <c r="T15" s="57">
        <v>0.888</v>
      </c>
      <c r="U15" s="98">
        <f t="shared" si="2"/>
        <v>66.0672</v>
      </c>
      <c r="V15" s="99">
        <f t="shared" si="5"/>
        <v>194.9952</v>
      </c>
      <c r="W15" s="97"/>
    </row>
    <row r="16" ht="20" customHeight="1" spans="11:23">
      <c r="K16" s="64"/>
      <c r="L16" s="65"/>
      <c r="M16" s="66"/>
      <c r="N16" s="66"/>
      <c r="O16" s="65" t="s">
        <v>555</v>
      </c>
      <c r="P16" s="67"/>
      <c r="Q16" s="101">
        <v>16</v>
      </c>
      <c r="R16" s="101">
        <f>(M15+N15*2)*1000+600-50+6.25*16*2</f>
        <v>2550</v>
      </c>
      <c r="S16" s="101">
        <v>32</v>
      </c>
      <c r="T16" s="102">
        <v>1.58</v>
      </c>
      <c r="U16" s="103">
        <f t="shared" si="2"/>
        <v>128.928</v>
      </c>
      <c r="V16" s="104"/>
      <c r="W16" s="97"/>
    </row>
    <row r="17" ht="20" customHeight="1" spans="11:23">
      <c r="K17" s="68">
        <v>7</v>
      </c>
      <c r="L17" s="69" t="s">
        <v>561</v>
      </c>
      <c r="M17" s="70">
        <v>1.5</v>
      </c>
      <c r="N17" s="70">
        <v>0.35</v>
      </c>
      <c r="O17" s="71" t="s">
        <v>554</v>
      </c>
      <c r="P17" s="72"/>
      <c r="Q17" s="105">
        <v>12</v>
      </c>
      <c r="R17" s="105">
        <f t="shared" ref="R17:R21" si="6">3000-25*2+6.25*12*2</f>
        <v>3100</v>
      </c>
      <c r="S17" s="105">
        <v>26</v>
      </c>
      <c r="T17" s="105">
        <v>0.888</v>
      </c>
      <c r="U17" s="106">
        <f t="shared" si="2"/>
        <v>71.5728</v>
      </c>
      <c r="V17" s="107">
        <f t="shared" ref="V17:V21" si="7">U17+U18</f>
        <v>220.7248</v>
      </c>
      <c r="W17" s="97"/>
    </row>
    <row r="18" ht="20" customHeight="1" spans="11:23">
      <c r="K18" s="56"/>
      <c r="L18" s="61"/>
      <c r="M18" s="62"/>
      <c r="N18" s="62"/>
      <c r="O18" s="61" t="s">
        <v>555</v>
      </c>
      <c r="P18" s="63"/>
      <c r="Q18" s="57">
        <v>16</v>
      </c>
      <c r="R18" s="57">
        <f>(M17+N17*2)*1000+600-50+6.25*16*2</f>
        <v>2950</v>
      </c>
      <c r="S18" s="57">
        <v>32</v>
      </c>
      <c r="T18" s="100">
        <v>1.58</v>
      </c>
      <c r="U18" s="98">
        <f t="shared" si="2"/>
        <v>149.152</v>
      </c>
      <c r="V18" s="99"/>
      <c r="W18" s="97"/>
    </row>
    <row r="19" ht="20" customHeight="1" spans="11:23">
      <c r="K19" s="56">
        <v>8</v>
      </c>
      <c r="L19" s="61" t="s">
        <v>562</v>
      </c>
      <c r="M19" s="62">
        <v>2</v>
      </c>
      <c r="N19" s="62">
        <v>0.4</v>
      </c>
      <c r="O19" s="59" t="s">
        <v>554</v>
      </c>
      <c r="P19" s="63"/>
      <c r="Q19" s="57">
        <v>12</v>
      </c>
      <c r="R19" s="57">
        <f t="shared" si="6"/>
        <v>3100</v>
      </c>
      <c r="S19" s="57">
        <v>32</v>
      </c>
      <c r="T19" s="57">
        <v>0.888</v>
      </c>
      <c r="U19" s="98">
        <f t="shared" si="2"/>
        <v>88.0896</v>
      </c>
      <c r="V19" s="99">
        <f t="shared" si="7"/>
        <v>267.5776</v>
      </c>
      <c r="W19" s="97"/>
    </row>
    <row r="20" ht="20" customHeight="1" spans="11:23">
      <c r="K20" s="56"/>
      <c r="L20" s="61"/>
      <c r="M20" s="62"/>
      <c r="N20" s="62"/>
      <c r="O20" s="61" t="s">
        <v>555</v>
      </c>
      <c r="P20" s="63"/>
      <c r="Q20" s="57">
        <v>16</v>
      </c>
      <c r="R20" s="57">
        <f>(M19+N19*2)*1000+600-50+6.25*16*2</f>
        <v>3550</v>
      </c>
      <c r="S20" s="57">
        <v>32</v>
      </c>
      <c r="T20" s="100">
        <v>1.58</v>
      </c>
      <c r="U20" s="98">
        <f t="shared" si="2"/>
        <v>179.488</v>
      </c>
      <c r="V20" s="99"/>
      <c r="W20" s="97"/>
    </row>
    <row r="21" ht="20" customHeight="1" spans="11:23">
      <c r="K21" s="56">
        <v>9</v>
      </c>
      <c r="L21" s="61" t="s">
        <v>563</v>
      </c>
      <c r="M21" s="62">
        <v>2.5</v>
      </c>
      <c r="N21" s="62">
        <v>0.5</v>
      </c>
      <c r="O21" s="59" t="s">
        <v>554</v>
      </c>
      <c r="P21" s="63"/>
      <c r="Q21" s="57">
        <v>12</v>
      </c>
      <c r="R21" s="57">
        <f t="shared" si="6"/>
        <v>3100</v>
      </c>
      <c r="S21" s="57">
        <v>38</v>
      </c>
      <c r="T21" s="57">
        <v>0.888</v>
      </c>
      <c r="U21" s="98">
        <f t="shared" si="2"/>
        <v>104.6064</v>
      </c>
      <c r="V21" s="99">
        <f t="shared" si="7"/>
        <v>319.4864</v>
      </c>
      <c r="W21" s="97"/>
    </row>
    <row r="22" ht="20" customHeight="1" spans="11:23">
      <c r="K22" s="56"/>
      <c r="L22" s="61"/>
      <c r="M22" s="62"/>
      <c r="N22" s="62"/>
      <c r="O22" s="61" t="s">
        <v>555</v>
      </c>
      <c r="P22" s="63"/>
      <c r="Q22" s="57">
        <v>16</v>
      </c>
      <c r="R22" s="57">
        <f>(M21+N21*2)*1000+600-50+6.25*16*2</f>
        <v>4250</v>
      </c>
      <c r="S22" s="57">
        <v>32</v>
      </c>
      <c r="T22" s="100">
        <v>1.58</v>
      </c>
      <c r="U22" s="98">
        <f t="shared" si="2"/>
        <v>214.88</v>
      </c>
      <c r="V22" s="99"/>
      <c r="W22" s="97"/>
    </row>
    <row r="23" ht="20" customHeight="1" spans="11:23">
      <c r="K23" s="56">
        <v>10</v>
      </c>
      <c r="L23" s="61" t="s">
        <v>564</v>
      </c>
      <c r="M23" s="62">
        <v>3</v>
      </c>
      <c r="N23" s="62">
        <v>0.5</v>
      </c>
      <c r="O23" s="59" t="s">
        <v>554</v>
      </c>
      <c r="P23" s="63"/>
      <c r="Q23" s="57">
        <v>12</v>
      </c>
      <c r="R23" s="57">
        <f>3000-25*2+6.25*12*2</f>
        <v>3100</v>
      </c>
      <c r="S23" s="57">
        <v>42</v>
      </c>
      <c r="T23" s="57">
        <v>0.888</v>
      </c>
      <c r="U23" s="98">
        <f t="shared" si="2"/>
        <v>115.6176</v>
      </c>
      <c r="V23" s="99">
        <f>U23+U24</f>
        <v>355.7776</v>
      </c>
      <c r="W23" s="97"/>
    </row>
    <row r="24" ht="20" customHeight="1" spans="11:23">
      <c r="K24" s="64"/>
      <c r="L24" s="65"/>
      <c r="M24" s="66"/>
      <c r="N24" s="66"/>
      <c r="O24" s="65" t="s">
        <v>555</v>
      </c>
      <c r="P24" s="67"/>
      <c r="Q24" s="101">
        <v>16</v>
      </c>
      <c r="R24" s="101">
        <f>(M23+N23*2)*1000+600-50+6.25*16*2</f>
        <v>4750</v>
      </c>
      <c r="S24" s="101">
        <v>32</v>
      </c>
      <c r="T24" s="102">
        <v>1.58</v>
      </c>
      <c r="U24" s="103">
        <f t="shared" si="2"/>
        <v>240.16</v>
      </c>
      <c r="V24" s="104"/>
      <c r="W24" s="97"/>
    </row>
    <row r="25" ht="20" customHeight="1" spans="23:23">
      <c r="W25" s="97"/>
    </row>
    <row r="26" ht="20" customHeight="1" spans="11:21">
      <c r="K26" s="50" t="s">
        <v>565</v>
      </c>
      <c r="L26" s="50"/>
      <c r="M26" s="50"/>
      <c r="N26" s="50"/>
      <c r="O26" s="50"/>
      <c r="P26" s="50"/>
      <c r="Q26" s="50"/>
      <c r="R26" s="50"/>
      <c r="S26" s="50"/>
      <c r="T26" s="50"/>
      <c r="U26" s="50"/>
    </row>
    <row r="27" ht="20" customHeight="1" spans="11:22">
      <c r="K27" s="73" t="s">
        <v>2</v>
      </c>
      <c r="L27" s="74" t="s">
        <v>539</v>
      </c>
      <c r="M27" s="74" t="s">
        <v>566</v>
      </c>
      <c r="N27" s="74"/>
      <c r="O27" s="74" t="s">
        <v>567</v>
      </c>
      <c r="P27" s="74"/>
      <c r="Q27" s="74"/>
      <c r="R27" s="74" t="s">
        <v>511</v>
      </c>
      <c r="S27" s="74"/>
      <c r="T27" s="74"/>
      <c r="U27" s="108"/>
      <c r="V27" s="47"/>
    </row>
    <row r="28" s="47" customFormat="1" ht="20" customHeight="1" spans="11:21">
      <c r="K28" s="75"/>
      <c r="L28" s="76"/>
      <c r="M28" s="77" t="s">
        <v>568</v>
      </c>
      <c r="N28" s="77" t="s">
        <v>506</v>
      </c>
      <c r="O28" s="78" t="s">
        <v>569</v>
      </c>
      <c r="P28" s="76" t="s">
        <v>570</v>
      </c>
      <c r="Q28" s="76" t="s">
        <v>571</v>
      </c>
      <c r="R28" s="78" t="s">
        <v>572</v>
      </c>
      <c r="S28" s="109" t="s">
        <v>296</v>
      </c>
      <c r="T28" s="110" t="s">
        <v>326</v>
      </c>
      <c r="U28" s="111" t="s">
        <v>285</v>
      </c>
    </row>
    <row r="29" s="47" customFormat="1" ht="20" customHeight="1" spans="11:21">
      <c r="K29" s="75"/>
      <c r="L29" s="76" t="s">
        <v>284</v>
      </c>
      <c r="M29" s="76" t="s">
        <v>290</v>
      </c>
      <c r="N29" s="76" t="s">
        <v>290</v>
      </c>
      <c r="O29" s="78" t="s">
        <v>290</v>
      </c>
      <c r="P29" s="76" t="s">
        <v>290</v>
      </c>
      <c r="Q29" s="76" t="s">
        <v>290</v>
      </c>
      <c r="R29" s="112" t="s">
        <v>573</v>
      </c>
      <c r="S29" s="112" t="s">
        <v>574</v>
      </c>
      <c r="T29" s="76" t="s">
        <v>327</v>
      </c>
      <c r="U29" s="111" t="s">
        <v>325</v>
      </c>
    </row>
    <row r="30" s="47" customFormat="1" ht="20" customHeight="1" spans="11:21">
      <c r="K30" s="75">
        <v>1</v>
      </c>
      <c r="L30" s="76" t="s">
        <v>553</v>
      </c>
      <c r="M30" s="79">
        <v>0.4</v>
      </c>
      <c r="N30" s="79">
        <v>0.2</v>
      </c>
      <c r="O30" s="80">
        <v>3</v>
      </c>
      <c r="P30" s="79">
        <f t="shared" ref="P30:P39" si="8">M30+N30*2+0.6</f>
        <v>1.4</v>
      </c>
      <c r="Q30" s="79">
        <v>0.15</v>
      </c>
      <c r="R30" s="113">
        <f t="shared" ref="R30:R39" si="9">Q30*P30*O30*U30</f>
        <v>0.63</v>
      </c>
      <c r="S30" s="114">
        <f t="shared" ref="S30:S39" si="10">Q30*(O30+P30)*2*U30</f>
        <v>1.32</v>
      </c>
      <c r="T30" s="113">
        <f>V5*U30/1000</f>
        <v>0.1224128</v>
      </c>
      <c r="U30" s="115">
        <v>1</v>
      </c>
    </row>
    <row r="31" s="47" customFormat="1" ht="20" customHeight="1" spans="11:21">
      <c r="K31" s="75">
        <v>2</v>
      </c>
      <c r="L31" s="76" t="s">
        <v>556</v>
      </c>
      <c r="M31" s="79">
        <v>0.5</v>
      </c>
      <c r="N31" s="79">
        <v>0.2</v>
      </c>
      <c r="O31" s="80">
        <v>3</v>
      </c>
      <c r="P31" s="79">
        <f t="shared" si="8"/>
        <v>1.5</v>
      </c>
      <c r="Q31" s="79">
        <v>0.15</v>
      </c>
      <c r="R31" s="113">
        <f t="shared" si="9"/>
        <v>0.675</v>
      </c>
      <c r="S31" s="114">
        <f t="shared" si="10"/>
        <v>1.35</v>
      </c>
      <c r="T31" s="113">
        <f>V7*U31/1000</f>
        <v>0.1274688</v>
      </c>
      <c r="U31" s="115">
        <v>1</v>
      </c>
    </row>
    <row r="32" s="47" customFormat="1" ht="20" customHeight="1" spans="11:21">
      <c r="K32" s="75">
        <v>3</v>
      </c>
      <c r="L32" s="76" t="s">
        <v>557</v>
      </c>
      <c r="M32" s="79">
        <v>0.6</v>
      </c>
      <c r="N32" s="79">
        <v>0.25</v>
      </c>
      <c r="O32" s="80">
        <v>3</v>
      </c>
      <c r="P32" s="79">
        <f t="shared" si="8"/>
        <v>1.7</v>
      </c>
      <c r="Q32" s="79">
        <v>0.15</v>
      </c>
      <c r="R32" s="113">
        <f t="shared" si="9"/>
        <v>0.765</v>
      </c>
      <c r="S32" s="114">
        <f t="shared" si="10"/>
        <v>1.41</v>
      </c>
      <c r="T32" s="113">
        <f>V9*U32/1000</f>
        <v>0.1430864</v>
      </c>
      <c r="U32" s="115">
        <v>1</v>
      </c>
    </row>
    <row r="33" s="47" customFormat="1" ht="20" customHeight="1" spans="11:21">
      <c r="K33" s="75">
        <v>4</v>
      </c>
      <c r="L33" s="76" t="s">
        <v>558</v>
      </c>
      <c r="M33" s="79">
        <v>0.8</v>
      </c>
      <c r="N33" s="79">
        <v>0.25</v>
      </c>
      <c r="O33" s="80">
        <v>3</v>
      </c>
      <c r="P33" s="79">
        <f t="shared" si="8"/>
        <v>1.9</v>
      </c>
      <c r="Q33" s="79">
        <v>0.15</v>
      </c>
      <c r="R33" s="113">
        <f t="shared" si="9"/>
        <v>0.855</v>
      </c>
      <c r="S33" s="114">
        <f t="shared" si="10"/>
        <v>1.47</v>
      </c>
      <c r="T33" s="113">
        <f>V11*U33/1000</f>
        <v>0.158704</v>
      </c>
      <c r="U33" s="115">
        <v>1</v>
      </c>
    </row>
    <row r="34" s="47" customFormat="1" ht="20" customHeight="1" spans="11:21">
      <c r="K34" s="75">
        <v>5</v>
      </c>
      <c r="L34" s="76" t="s">
        <v>559</v>
      </c>
      <c r="M34" s="79">
        <v>1</v>
      </c>
      <c r="N34" s="79">
        <v>0.3</v>
      </c>
      <c r="O34" s="80">
        <v>3</v>
      </c>
      <c r="P34" s="79">
        <f t="shared" si="8"/>
        <v>2.2</v>
      </c>
      <c r="Q34" s="79">
        <v>0.15</v>
      </c>
      <c r="R34" s="113">
        <f t="shared" si="9"/>
        <v>0.99</v>
      </c>
      <c r="S34" s="114">
        <f t="shared" si="10"/>
        <v>1.56</v>
      </c>
      <c r="T34" s="113">
        <f>V13*U34/1000</f>
        <v>0.1793776</v>
      </c>
      <c r="U34" s="115">
        <v>1</v>
      </c>
    </row>
    <row r="35" s="47" customFormat="1" ht="20" customHeight="1" spans="11:21">
      <c r="K35" s="81">
        <v>6</v>
      </c>
      <c r="L35" s="82" t="s">
        <v>560</v>
      </c>
      <c r="M35" s="83">
        <v>1.2</v>
      </c>
      <c r="N35" s="83">
        <v>0.3</v>
      </c>
      <c r="O35" s="84">
        <v>3</v>
      </c>
      <c r="P35" s="83">
        <f t="shared" si="8"/>
        <v>2.4</v>
      </c>
      <c r="Q35" s="83">
        <v>0.15</v>
      </c>
      <c r="R35" s="116">
        <f t="shared" si="9"/>
        <v>1.08</v>
      </c>
      <c r="S35" s="117">
        <f t="shared" si="10"/>
        <v>1.62</v>
      </c>
      <c r="T35" s="116">
        <f>V15*U35/1000</f>
        <v>0.1949952</v>
      </c>
      <c r="U35" s="118">
        <v>1</v>
      </c>
    </row>
    <row r="36" s="47" customFormat="1" ht="20" customHeight="1" spans="11:21">
      <c r="K36" s="85">
        <v>7</v>
      </c>
      <c r="L36" s="86" t="s">
        <v>561</v>
      </c>
      <c r="M36" s="87">
        <v>1.5</v>
      </c>
      <c r="N36" s="87">
        <v>0.35</v>
      </c>
      <c r="O36" s="88">
        <v>3</v>
      </c>
      <c r="P36" s="87">
        <f t="shared" si="8"/>
        <v>2.8</v>
      </c>
      <c r="Q36" s="87">
        <v>0.15</v>
      </c>
      <c r="R36" s="119">
        <f t="shared" si="9"/>
        <v>1.26</v>
      </c>
      <c r="S36" s="120">
        <f t="shared" si="10"/>
        <v>1.74</v>
      </c>
      <c r="T36" s="119">
        <f>V17*U36/1000</f>
        <v>0.2207248</v>
      </c>
      <c r="U36" s="121">
        <v>1</v>
      </c>
    </row>
    <row r="37" s="47" customFormat="1" ht="20" customHeight="1" spans="11:21">
      <c r="K37" s="89">
        <v>8</v>
      </c>
      <c r="L37" s="76" t="s">
        <v>562</v>
      </c>
      <c r="M37" s="79">
        <v>2</v>
      </c>
      <c r="N37" s="79">
        <v>0.4</v>
      </c>
      <c r="O37" s="80">
        <v>3</v>
      </c>
      <c r="P37" s="79">
        <f t="shared" si="8"/>
        <v>3.4</v>
      </c>
      <c r="Q37" s="79">
        <v>0.15</v>
      </c>
      <c r="R37" s="113">
        <f t="shared" si="9"/>
        <v>1.53</v>
      </c>
      <c r="S37" s="114">
        <f t="shared" si="10"/>
        <v>1.92</v>
      </c>
      <c r="T37" s="113">
        <f>V19*U37/1000</f>
        <v>0.2675776</v>
      </c>
      <c r="U37" s="122">
        <v>1</v>
      </c>
    </row>
    <row r="38" s="47" customFormat="1" ht="20" customHeight="1" spans="11:21">
      <c r="K38" s="89">
        <v>9</v>
      </c>
      <c r="L38" s="76" t="s">
        <v>563</v>
      </c>
      <c r="M38" s="79">
        <v>2.5</v>
      </c>
      <c r="N38" s="79">
        <v>0.5</v>
      </c>
      <c r="O38" s="80">
        <v>3</v>
      </c>
      <c r="P38" s="79">
        <f t="shared" si="8"/>
        <v>4.1</v>
      </c>
      <c r="Q38" s="79">
        <v>0.15</v>
      </c>
      <c r="R38" s="113">
        <f t="shared" si="9"/>
        <v>1.845</v>
      </c>
      <c r="S38" s="114">
        <f t="shared" si="10"/>
        <v>2.13</v>
      </c>
      <c r="T38" s="113">
        <f>V21*U38/1000</f>
        <v>0.3194864</v>
      </c>
      <c r="U38" s="122">
        <v>1</v>
      </c>
    </row>
    <row r="39" s="47" customFormat="1" ht="20" customHeight="1" spans="11:21">
      <c r="K39" s="89">
        <v>10</v>
      </c>
      <c r="L39" s="76" t="s">
        <v>564</v>
      </c>
      <c r="M39" s="79">
        <v>3</v>
      </c>
      <c r="N39" s="79">
        <v>0.5</v>
      </c>
      <c r="O39" s="80">
        <v>3</v>
      </c>
      <c r="P39" s="79">
        <f t="shared" si="8"/>
        <v>4.6</v>
      </c>
      <c r="Q39" s="79">
        <v>0.15</v>
      </c>
      <c r="R39" s="113">
        <f t="shared" si="9"/>
        <v>2.07</v>
      </c>
      <c r="S39" s="114">
        <f t="shared" si="10"/>
        <v>2.28</v>
      </c>
      <c r="T39" s="113">
        <f>V23*U39/1000</f>
        <v>0.3557776</v>
      </c>
      <c r="U39" s="122">
        <v>1</v>
      </c>
    </row>
    <row r="40" s="47" customFormat="1" ht="20" customHeight="1" spans="11:21">
      <c r="K40" s="76" t="s">
        <v>459</v>
      </c>
      <c r="L40" s="76"/>
      <c r="M40" s="76"/>
      <c r="N40" s="76"/>
      <c r="O40" s="76"/>
      <c r="P40" s="76"/>
      <c r="Q40" s="76"/>
      <c r="R40" s="113">
        <f t="shared" ref="R40:U40" si="11">SUM(R30:R39)</f>
        <v>11.7</v>
      </c>
      <c r="S40" s="113">
        <f t="shared" si="11"/>
        <v>16.8</v>
      </c>
      <c r="T40" s="113">
        <f t="shared" si="11"/>
        <v>2.0896112</v>
      </c>
      <c r="U40" s="123"/>
    </row>
    <row r="41" s="47" customFormat="1" ht="30" customHeight="1" spans="11:22"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</row>
  </sheetData>
  <mergeCells count="67">
    <mergeCell ref="B2:I2"/>
    <mergeCell ref="K2:V2"/>
    <mergeCell ref="D3:I3"/>
    <mergeCell ref="M3:N3"/>
    <mergeCell ref="K26:U26"/>
    <mergeCell ref="M27:N27"/>
    <mergeCell ref="O27:Q27"/>
    <mergeCell ref="R27:U27"/>
    <mergeCell ref="K40:Q40"/>
    <mergeCell ref="B3:B4"/>
    <mergeCell ref="C3:C4"/>
    <mergeCell ref="K3:K4"/>
    <mergeCell ref="K5:K6"/>
    <mergeCell ref="K7:K8"/>
    <mergeCell ref="K9:K10"/>
    <mergeCell ref="K11:K12"/>
    <mergeCell ref="K13:K14"/>
    <mergeCell ref="K15:K16"/>
    <mergeCell ref="K17:K18"/>
    <mergeCell ref="K19:K20"/>
    <mergeCell ref="K21:K22"/>
    <mergeCell ref="K23:K24"/>
    <mergeCell ref="K27:K29"/>
    <mergeCell ref="L3:L4"/>
    <mergeCell ref="L5:L6"/>
    <mergeCell ref="L7:L8"/>
    <mergeCell ref="L9:L10"/>
    <mergeCell ref="L11:L12"/>
    <mergeCell ref="L13:L14"/>
    <mergeCell ref="L15:L16"/>
    <mergeCell ref="L17:L18"/>
    <mergeCell ref="L19:L20"/>
    <mergeCell ref="L21:L22"/>
    <mergeCell ref="L23:L24"/>
    <mergeCell ref="L27:L28"/>
    <mergeCell ref="M5:M6"/>
    <mergeCell ref="M7:M8"/>
    <mergeCell ref="M9:M10"/>
    <mergeCell ref="M11:M12"/>
    <mergeCell ref="M13:M14"/>
    <mergeCell ref="M15:M16"/>
    <mergeCell ref="M17:M18"/>
    <mergeCell ref="M19:M20"/>
    <mergeCell ref="M21:M22"/>
    <mergeCell ref="M23:M24"/>
    <mergeCell ref="N5:N6"/>
    <mergeCell ref="N7:N8"/>
    <mergeCell ref="N9:N10"/>
    <mergeCell ref="N11:N12"/>
    <mergeCell ref="N13:N14"/>
    <mergeCell ref="N15:N16"/>
    <mergeCell ref="N17:N18"/>
    <mergeCell ref="N19:N20"/>
    <mergeCell ref="N21:N22"/>
    <mergeCell ref="N23:N24"/>
    <mergeCell ref="O3:O4"/>
    <mergeCell ref="P3:P4"/>
    <mergeCell ref="V5:V6"/>
    <mergeCell ref="V7:V8"/>
    <mergeCell ref="V9:V10"/>
    <mergeCell ref="V11:V12"/>
    <mergeCell ref="V13:V14"/>
    <mergeCell ref="V15:V16"/>
    <mergeCell ref="V17:V18"/>
    <mergeCell ref="V19:V20"/>
    <mergeCell ref="V21:V22"/>
    <mergeCell ref="V23:V24"/>
  </mergeCells>
  <pageMargins left="0.75" right="0.75" top="1" bottom="1" header="0.5" footer="0.5"/>
  <pageSetup paperSize="9" orientation="portrait"/>
  <headerFooter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9"/>
  <sheetViews>
    <sheetView topLeftCell="A19" workbookViewId="0">
      <selection activeCell="K48" sqref="A33:K49"/>
    </sheetView>
  </sheetViews>
  <sheetFormatPr defaultColWidth="9" defaultRowHeight="13.5"/>
  <cols>
    <col min="1" max="1" width="5.625" customWidth="1"/>
    <col min="2" max="2" width="10" customWidth="1"/>
    <col min="3" max="10" width="8.625" customWidth="1"/>
    <col min="13" max="13" width="11.25" customWidth="1"/>
    <col min="15" max="15" width="10.875" customWidth="1"/>
  </cols>
  <sheetData>
    <row r="1" ht="37" customHeight="1" spans="1:19">
      <c r="A1" s="1" t="s">
        <v>575</v>
      </c>
      <c r="B1" s="1"/>
      <c r="C1" s="1"/>
      <c r="D1" s="1"/>
      <c r="E1" s="1"/>
      <c r="F1" s="1"/>
      <c r="G1" s="1"/>
      <c r="H1" s="1"/>
      <c r="I1" s="1"/>
      <c r="J1" s="1"/>
      <c r="M1" s="24" t="s">
        <v>499</v>
      </c>
      <c r="N1" s="25" t="s">
        <v>500</v>
      </c>
      <c r="O1" s="25"/>
      <c r="P1" s="25"/>
      <c r="Q1" s="25"/>
      <c r="R1" s="25"/>
      <c r="S1" s="25"/>
    </row>
    <row r="2" ht="25" customHeight="1" spans="1:19">
      <c r="A2" s="2" t="s">
        <v>2</v>
      </c>
      <c r="B2" s="3" t="s">
        <v>576</v>
      </c>
      <c r="C2" s="4" t="s">
        <v>577</v>
      </c>
      <c r="D2" s="4" t="s">
        <v>578</v>
      </c>
      <c r="E2" s="4" t="s">
        <v>545</v>
      </c>
      <c r="F2" s="4" t="s">
        <v>579</v>
      </c>
      <c r="G2" s="4" t="s">
        <v>580</v>
      </c>
      <c r="H2" s="4" t="s">
        <v>545</v>
      </c>
      <c r="I2" s="4" t="s">
        <v>546</v>
      </c>
      <c r="J2" s="26" t="s">
        <v>141</v>
      </c>
      <c r="M2" s="24"/>
      <c r="N2" s="24" t="s">
        <v>504</v>
      </c>
      <c r="O2" s="24" t="s">
        <v>505</v>
      </c>
      <c r="P2" s="24" t="s">
        <v>506</v>
      </c>
      <c r="Q2" s="24" t="s">
        <v>507</v>
      </c>
      <c r="R2" s="24" t="s">
        <v>508</v>
      </c>
      <c r="S2" s="24" t="s">
        <v>509</v>
      </c>
    </row>
    <row r="3" ht="18" customHeight="1" spans="1:19">
      <c r="A3" s="5"/>
      <c r="B3" s="6"/>
      <c r="C3" s="7" t="s">
        <v>430</v>
      </c>
      <c r="D3" s="7" t="s">
        <v>550</v>
      </c>
      <c r="E3" s="7" t="s">
        <v>581</v>
      </c>
      <c r="F3" s="7" t="s">
        <v>430</v>
      </c>
      <c r="G3" s="7" t="s">
        <v>550</v>
      </c>
      <c r="H3" s="7" t="s">
        <v>581</v>
      </c>
      <c r="I3" s="7" t="s">
        <v>552</v>
      </c>
      <c r="J3" s="27" t="s">
        <v>582</v>
      </c>
      <c r="M3" s="24" t="s">
        <v>501</v>
      </c>
      <c r="N3" s="28">
        <v>0.4</v>
      </c>
      <c r="O3" s="28">
        <v>0.4</v>
      </c>
      <c r="P3" s="28">
        <v>0.2</v>
      </c>
      <c r="Q3" s="28">
        <f t="shared" ref="Q3:Q8" si="0">N3+P3+P3</f>
        <v>0.8</v>
      </c>
      <c r="R3" s="28">
        <v>0.1</v>
      </c>
      <c r="S3" s="28">
        <v>0</v>
      </c>
    </row>
    <row r="4" ht="15" customHeight="1" spans="1:19">
      <c r="A4" s="5">
        <v>1</v>
      </c>
      <c r="B4" s="8">
        <v>0.6</v>
      </c>
      <c r="C4" s="7">
        <f>Q5</f>
        <v>1.1</v>
      </c>
      <c r="D4" s="7">
        <v>4</v>
      </c>
      <c r="E4" s="7">
        <v>0.6169</v>
      </c>
      <c r="F4" s="7">
        <v>0.65</v>
      </c>
      <c r="G4" s="7">
        <v>6</v>
      </c>
      <c r="H4" s="7">
        <v>0.395</v>
      </c>
      <c r="I4" s="20">
        <f t="shared" ref="I4:I8" si="1">C4*D4*E4+F4*G4*H4</f>
        <v>4.25486</v>
      </c>
      <c r="J4" s="29">
        <f>0.1*0.15*0.6</f>
        <v>0.009</v>
      </c>
      <c r="M4" s="24" t="s">
        <v>444</v>
      </c>
      <c r="N4" s="28">
        <v>0.5</v>
      </c>
      <c r="O4" s="28">
        <v>0.5</v>
      </c>
      <c r="P4" s="28">
        <v>0.2</v>
      </c>
      <c r="Q4" s="28">
        <f t="shared" si="0"/>
        <v>0.9</v>
      </c>
      <c r="R4" s="28">
        <v>0.15</v>
      </c>
      <c r="S4" s="28">
        <v>0</v>
      </c>
    </row>
    <row r="5" ht="15" customHeight="1" spans="1:19">
      <c r="A5" s="5"/>
      <c r="B5" s="8"/>
      <c r="C5" s="8"/>
      <c r="D5" s="8"/>
      <c r="E5" s="8"/>
      <c r="F5" s="8"/>
      <c r="G5" s="8"/>
      <c r="H5" s="8"/>
      <c r="I5" s="9"/>
      <c r="J5" s="30"/>
      <c r="M5" s="24" t="s">
        <v>163</v>
      </c>
      <c r="N5" s="28">
        <v>0.6</v>
      </c>
      <c r="O5" s="28">
        <v>0.6</v>
      </c>
      <c r="P5" s="31">
        <v>0.25</v>
      </c>
      <c r="Q5" s="46">
        <f t="shared" si="0"/>
        <v>1.1</v>
      </c>
      <c r="R5" s="28">
        <v>0.18</v>
      </c>
      <c r="S5" s="28">
        <v>0.1</v>
      </c>
    </row>
    <row r="6" ht="15" customHeight="1" spans="1:19">
      <c r="A6" s="5">
        <v>2</v>
      </c>
      <c r="B6" s="8">
        <v>0.8</v>
      </c>
      <c r="C6" s="9">
        <v>1.3</v>
      </c>
      <c r="D6" s="8">
        <v>4</v>
      </c>
      <c r="E6" s="8">
        <v>0.6169</v>
      </c>
      <c r="F6" s="8">
        <v>0.75</v>
      </c>
      <c r="G6" s="8">
        <v>7</v>
      </c>
      <c r="H6" s="8">
        <v>0.395</v>
      </c>
      <c r="I6" s="9">
        <f t="shared" si="1"/>
        <v>5.28163</v>
      </c>
      <c r="J6" s="30">
        <f>0.15*0.15*0.8</f>
        <v>0.018</v>
      </c>
      <c r="M6" s="24" t="s">
        <v>446</v>
      </c>
      <c r="N6" s="28">
        <v>0.8</v>
      </c>
      <c r="O6" s="28">
        <v>0.8</v>
      </c>
      <c r="P6" s="31">
        <v>0.25</v>
      </c>
      <c r="Q6" s="46">
        <f t="shared" si="0"/>
        <v>1.3</v>
      </c>
      <c r="R6" s="28">
        <v>0.2</v>
      </c>
      <c r="S6" s="28">
        <v>0.1</v>
      </c>
    </row>
    <row r="7" ht="15" customHeight="1" spans="1:19">
      <c r="A7" s="5"/>
      <c r="B7" s="8"/>
      <c r="C7" s="9"/>
      <c r="D7" s="8"/>
      <c r="E7" s="8"/>
      <c r="F7" s="8"/>
      <c r="G7" s="8"/>
      <c r="H7" s="8"/>
      <c r="I7" s="9"/>
      <c r="J7" s="30"/>
      <c r="M7" s="24" t="s">
        <v>447</v>
      </c>
      <c r="N7" s="28">
        <v>1</v>
      </c>
      <c r="O7" s="28">
        <v>1</v>
      </c>
      <c r="P7" s="31">
        <v>0.3</v>
      </c>
      <c r="Q7" s="46">
        <f t="shared" si="0"/>
        <v>1.6</v>
      </c>
      <c r="R7" s="28">
        <v>0.2</v>
      </c>
      <c r="S7" s="28">
        <v>0.1</v>
      </c>
    </row>
    <row r="8" ht="15" customHeight="1" spans="1:19">
      <c r="A8" s="5">
        <v>3</v>
      </c>
      <c r="B8" s="10">
        <v>1</v>
      </c>
      <c r="C8" s="9">
        <v>1.6</v>
      </c>
      <c r="D8" s="8">
        <v>4</v>
      </c>
      <c r="E8" s="8">
        <v>0.6169</v>
      </c>
      <c r="F8" s="8">
        <v>0.95</v>
      </c>
      <c r="G8" s="8">
        <v>8</v>
      </c>
      <c r="H8" s="8">
        <v>0.395</v>
      </c>
      <c r="I8" s="9">
        <f t="shared" si="1"/>
        <v>6.95016</v>
      </c>
      <c r="J8" s="30">
        <f>0.2*0.2*1</f>
        <v>0.04</v>
      </c>
      <c r="M8" s="24" t="s">
        <v>514</v>
      </c>
      <c r="N8" s="28">
        <v>1.2</v>
      </c>
      <c r="O8" s="28">
        <v>1</v>
      </c>
      <c r="P8" s="31">
        <v>0.3</v>
      </c>
      <c r="Q8" s="46">
        <f t="shared" si="0"/>
        <v>1.8</v>
      </c>
      <c r="R8" s="28">
        <v>0.2</v>
      </c>
      <c r="S8" s="28">
        <v>0.1</v>
      </c>
    </row>
    <row r="9" ht="15" customHeight="1" spans="1:10">
      <c r="A9" s="5"/>
      <c r="B9" s="10"/>
      <c r="C9" s="9"/>
      <c r="D9" s="8"/>
      <c r="E9" s="8"/>
      <c r="F9" s="8"/>
      <c r="G9" s="8"/>
      <c r="H9" s="8"/>
      <c r="I9" s="9"/>
      <c r="J9" s="30"/>
    </row>
    <row r="10" ht="15" customHeight="1" spans="1:10">
      <c r="A10" s="5">
        <v>4</v>
      </c>
      <c r="B10" s="8">
        <v>1.2</v>
      </c>
      <c r="C10" s="9">
        <v>1.84</v>
      </c>
      <c r="D10" s="8">
        <v>4</v>
      </c>
      <c r="E10" s="8">
        <v>0.6169</v>
      </c>
      <c r="F10" s="8">
        <v>0.95</v>
      </c>
      <c r="G10" s="8">
        <v>9</v>
      </c>
      <c r="H10" s="8">
        <v>0.395</v>
      </c>
      <c r="I10" s="9">
        <f>C10*D10*E10+F10*G10*H10</f>
        <v>7.917634</v>
      </c>
      <c r="J10" s="30">
        <f>0.2*0.2*1.2</f>
        <v>0.048</v>
      </c>
    </row>
    <row r="11" ht="15" customHeight="1" spans="1:10">
      <c r="A11" s="11"/>
      <c r="B11" s="12"/>
      <c r="C11" s="13"/>
      <c r="D11" s="12"/>
      <c r="E11" s="12"/>
      <c r="F11" s="12"/>
      <c r="G11" s="12"/>
      <c r="H11" s="12"/>
      <c r="I11" s="13"/>
      <c r="J11" s="32"/>
    </row>
    <row r="14" ht="23" customHeight="1" spans="1:13">
      <c r="A14" s="14" t="s">
        <v>583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33"/>
    </row>
    <row r="15" ht="20" customHeight="1" spans="1:13">
      <c r="A15" s="2" t="s">
        <v>2</v>
      </c>
      <c r="B15" s="15" t="s">
        <v>539</v>
      </c>
      <c r="C15" s="15" t="s">
        <v>540</v>
      </c>
      <c r="D15" s="15"/>
      <c r="E15" s="15" t="s">
        <v>541</v>
      </c>
      <c r="F15" s="15" t="s">
        <v>542</v>
      </c>
      <c r="G15" s="15" t="s">
        <v>543</v>
      </c>
      <c r="H15" s="15" t="s">
        <v>544</v>
      </c>
      <c r="I15" s="15" t="s">
        <v>285</v>
      </c>
      <c r="J15" s="15" t="s">
        <v>545</v>
      </c>
      <c r="K15" s="15" t="s">
        <v>546</v>
      </c>
      <c r="L15" s="34" t="s">
        <v>547</v>
      </c>
      <c r="M15" s="35"/>
    </row>
    <row r="16" ht="20" customHeight="1" spans="1:13">
      <c r="A16" s="5"/>
      <c r="B16" s="8"/>
      <c r="C16" s="8" t="s">
        <v>548</v>
      </c>
      <c r="D16" s="8" t="s">
        <v>549</v>
      </c>
      <c r="E16" s="8"/>
      <c r="F16" s="8"/>
      <c r="G16" s="8" t="s">
        <v>471</v>
      </c>
      <c r="H16" s="8" t="s">
        <v>471</v>
      </c>
      <c r="I16" s="8" t="s">
        <v>550</v>
      </c>
      <c r="J16" s="8" t="s">
        <v>581</v>
      </c>
      <c r="K16" s="8" t="s">
        <v>552</v>
      </c>
      <c r="L16" s="36" t="s">
        <v>552</v>
      </c>
      <c r="M16" s="35"/>
    </row>
    <row r="17" ht="20" customHeight="1" spans="1:13">
      <c r="A17" s="16">
        <v>1</v>
      </c>
      <c r="B17" s="17" t="s">
        <v>584</v>
      </c>
      <c r="C17" s="18">
        <v>0.6</v>
      </c>
      <c r="D17" s="18">
        <v>0.25</v>
      </c>
      <c r="E17" s="8" t="s">
        <v>554</v>
      </c>
      <c r="F17" s="8"/>
      <c r="G17" s="8">
        <v>10</v>
      </c>
      <c r="H17" s="8">
        <f t="shared" ref="H17:H21" si="2">(C17+D17*2)*1000</f>
        <v>1100</v>
      </c>
      <c r="I17" s="8">
        <v>4</v>
      </c>
      <c r="J17" s="8">
        <v>0.6169</v>
      </c>
      <c r="K17" s="9">
        <f t="shared" ref="K17:K30" si="3">I17*H17/1000*J17</f>
        <v>2.71436</v>
      </c>
      <c r="L17" s="37">
        <f t="shared" ref="L17:L21" si="4">K17+K18</f>
        <v>4.25486</v>
      </c>
      <c r="M17" s="35"/>
    </row>
    <row r="18" ht="20" customHeight="1" spans="1:13">
      <c r="A18" s="19"/>
      <c r="B18" s="7"/>
      <c r="C18" s="20"/>
      <c r="D18" s="20"/>
      <c r="E18" s="8" t="s">
        <v>555</v>
      </c>
      <c r="F18" s="8"/>
      <c r="G18" s="8">
        <v>8</v>
      </c>
      <c r="H18" s="8">
        <v>650</v>
      </c>
      <c r="I18" s="8">
        <v>6</v>
      </c>
      <c r="J18" s="8">
        <v>0.395</v>
      </c>
      <c r="K18" s="9">
        <f t="shared" si="3"/>
        <v>1.5405</v>
      </c>
      <c r="L18" s="38"/>
      <c r="M18" s="35"/>
    </row>
    <row r="19" ht="20" customHeight="1" spans="1:13">
      <c r="A19" s="16">
        <v>2</v>
      </c>
      <c r="B19" s="17" t="s">
        <v>585</v>
      </c>
      <c r="C19" s="18">
        <v>0.8</v>
      </c>
      <c r="D19" s="18">
        <v>0.25</v>
      </c>
      <c r="E19" s="8" t="s">
        <v>554</v>
      </c>
      <c r="F19" s="8"/>
      <c r="G19" s="8">
        <v>10</v>
      </c>
      <c r="H19" s="8">
        <f t="shared" si="2"/>
        <v>1300</v>
      </c>
      <c r="I19" s="8">
        <v>4</v>
      </c>
      <c r="J19" s="8">
        <v>0.6169</v>
      </c>
      <c r="K19" s="9">
        <f t="shared" si="3"/>
        <v>3.20788</v>
      </c>
      <c r="L19" s="37">
        <f t="shared" si="4"/>
        <v>5.00513</v>
      </c>
      <c r="M19" s="35"/>
    </row>
    <row r="20" ht="20" customHeight="1" spans="1:13">
      <c r="A20" s="19"/>
      <c r="B20" s="7"/>
      <c r="C20" s="20"/>
      <c r="D20" s="20"/>
      <c r="E20" s="8" t="s">
        <v>555</v>
      </c>
      <c r="F20" s="8"/>
      <c r="G20" s="8">
        <v>8</v>
      </c>
      <c r="H20" s="8">
        <v>650</v>
      </c>
      <c r="I20" s="8">
        <v>7</v>
      </c>
      <c r="J20" s="8">
        <v>0.395</v>
      </c>
      <c r="K20" s="9">
        <f t="shared" si="3"/>
        <v>1.79725</v>
      </c>
      <c r="L20" s="38"/>
      <c r="M20" s="35"/>
    </row>
    <row r="21" ht="20" customHeight="1" spans="1:13">
      <c r="A21" s="16">
        <v>3</v>
      </c>
      <c r="B21" s="17" t="s">
        <v>586</v>
      </c>
      <c r="C21" s="18">
        <v>1</v>
      </c>
      <c r="D21" s="18">
        <v>0.3</v>
      </c>
      <c r="E21" s="8" t="s">
        <v>554</v>
      </c>
      <c r="F21" s="8"/>
      <c r="G21" s="8">
        <v>10</v>
      </c>
      <c r="H21" s="8">
        <f t="shared" si="2"/>
        <v>1600</v>
      </c>
      <c r="I21" s="8">
        <v>4</v>
      </c>
      <c r="J21" s="8">
        <v>0.6169</v>
      </c>
      <c r="K21" s="9">
        <f t="shared" si="3"/>
        <v>3.94816</v>
      </c>
      <c r="L21" s="37">
        <f t="shared" si="4"/>
        <v>6.00216</v>
      </c>
      <c r="M21" s="35"/>
    </row>
    <row r="22" ht="20" customHeight="1" spans="1:13">
      <c r="A22" s="19"/>
      <c r="B22" s="7"/>
      <c r="C22" s="20"/>
      <c r="D22" s="20"/>
      <c r="E22" s="8" t="s">
        <v>555</v>
      </c>
      <c r="F22" s="8"/>
      <c r="G22" s="8">
        <v>8</v>
      </c>
      <c r="H22" s="8">
        <v>650</v>
      </c>
      <c r="I22" s="8">
        <v>8</v>
      </c>
      <c r="J22" s="8">
        <v>0.395</v>
      </c>
      <c r="K22" s="9">
        <f t="shared" si="3"/>
        <v>2.054</v>
      </c>
      <c r="L22" s="38"/>
      <c r="M22" s="35"/>
    </row>
    <row r="23" ht="20" customHeight="1" spans="1:13">
      <c r="A23" s="16">
        <v>4</v>
      </c>
      <c r="B23" s="17" t="s">
        <v>587</v>
      </c>
      <c r="C23" s="18">
        <v>1.2</v>
      </c>
      <c r="D23" s="18">
        <v>0.3</v>
      </c>
      <c r="E23" s="8" t="s">
        <v>554</v>
      </c>
      <c r="F23" s="8"/>
      <c r="G23" s="8">
        <v>10</v>
      </c>
      <c r="H23" s="8">
        <f t="shared" ref="H23:H27" si="5">(C23+D23*2)*1000</f>
        <v>1800</v>
      </c>
      <c r="I23" s="8">
        <v>4</v>
      </c>
      <c r="J23" s="8">
        <v>0.6169</v>
      </c>
      <c r="K23" s="9">
        <f t="shared" si="3"/>
        <v>4.44168</v>
      </c>
      <c r="L23" s="37">
        <f t="shared" ref="L23:L27" si="6">K23+K24</f>
        <v>6.75243</v>
      </c>
      <c r="M23" s="35"/>
    </row>
    <row r="24" ht="20" customHeight="1" spans="1:13">
      <c r="A24" s="19"/>
      <c r="B24" s="7"/>
      <c r="C24" s="20"/>
      <c r="D24" s="20"/>
      <c r="E24" s="8" t="s">
        <v>555</v>
      </c>
      <c r="F24" s="8"/>
      <c r="G24" s="8">
        <v>8</v>
      </c>
      <c r="H24" s="8">
        <v>650</v>
      </c>
      <c r="I24" s="8">
        <v>9</v>
      </c>
      <c r="J24" s="8">
        <v>0.395</v>
      </c>
      <c r="K24" s="9">
        <f t="shared" si="3"/>
        <v>2.31075</v>
      </c>
      <c r="L24" s="38"/>
      <c r="M24" s="35"/>
    </row>
    <row r="25" ht="20" customHeight="1" spans="1:13">
      <c r="A25" s="16">
        <v>5</v>
      </c>
      <c r="B25" s="17" t="s">
        <v>588</v>
      </c>
      <c r="C25" s="18">
        <v>1.5</v>
      </c>
      <c r="D25" s="18">
        <v>0.35</v>
      </c>
      <c r="E25" s="8" t="s">
        <v>554</v>
      </c>
      <c r="F25" s="8"/>
      <c r="G25" s="8">
        <v>10</v>
      </c>
      <c r="H25" s="8">
        <f t="shared" si="5"/>
        <v>2200</v>
      </c>
      <c r="I25" s="8">
        <v>4</v>
      </c>
      <c r="J25" s="8">
        <v>0.6169</v>
      </c>
      <c r="K25" s="9">
        <f t="shared" si="3"/>
        <v>5.42872</v>
      </c>
      <c r="L25" s="37">
        <f t="shared" si="6"/>
        <v>8.25297</v>
      </c>
      <c r="M25" s="35"/>
    </row>
    <row r="26" ht="20" customHeight="1" spans="1:13">
      <c r="A26" s="19"/>
      <c r="B26" s="7"/>
      <c r="C26" s="20"/>
      <c r="D26" s="20"/>
      <c r="E26" s="8" t="s">
        <v>555</v>
      </c>
      <c r="F26" s="8"/>
      <c r="G26" s="8">
        <v>8</v>
      </c>
      <c r="H26" s="8">
        <v>650</v>
      </c>
      <c r="I26" s="8">
        <v>11</v>
      </c>
      <c r="J26" s="8">
        <v>0.395</v>
      </c>
      <c r="K26" s="9">
        <f t="shared" si="3"/>
        <v>2.82425</v>
      </c>
      <c r="L26" s="38"/>
      <c r="M26" s="35"/>
    </row>
    <row r="27" ht="20" customHeight="1" spans="1:13">
      <c r="A27" s="16">
        <v>6</v>
      </c>
      <c r="B27" s="17" t="s">
        <v>589</v>
      </c>
      <c r="C27" s="18">
        <v>2</v>
      </c>
      <c r="D27" s="18">
        <v>0.4</v>
      </c>
      <c r="E27" s="8" t="s">
        <v>554</v>
      </c>
      <c r="F27" s="8"/>
      <c r="G27" s="8">
        <v>10</v>
      </c>
      <c r="H27" s="8">
        <f t="shared" si="5"/>
        <v>2800</v>
      </c>
      <c r="I27" s="8">
        <v>4</v>
      </c>
      <c r="J27" s="8">
        <v>0.6169</v>
      </c>
      <c r="K27" s="9">
        <f t="shared" si="3"/>
        <v>6.90928</v>
      </c>
      <c r="L27" s="37">
        <f t="shared" si="6"/>
        <v>10.50378</v>
      </c>
      <c r="M27" s="35"/>
    </row>
    <row r="28" ht="20" customHeight="1" spans="1:13">
      <c r="A28" s="19"/>
      <c r="B28" s="7"/>
      <c r="C28" s="20"/>
      <c r="D28" s="20"/>
      <c r="E28" s="8" t="s">
        <v>555</v>
      </c>
      <c r="F28" s="8"/>
      <c r="G28" s="8">
        <v>8</v>
      </c>
      <c r="H28" s="8">
        <v>650</v>
      </c>
      <c r="I28" s="8">
        <v>14</v>
      </c>
      <c r="J28" s="8">
        <v>0.395</v>
      </c>
      <c r="K28" s="9">
        <f t="shared" si="3"/>
        <v>3.5945</v>
      </c>
      <c r="L28" s="38"/>
      <c r="M28" s="35"/>
    </row>
    <row r="29" ht="20" customHeight="1" spans="1:13">
      <c r="A29" s="16">
        <v>7</v>
      </c>
      <c r="B29" s="17" t="s">
        <v>590</v>
      </c>
      <c r="C29" s="18">
        <v>2.5</v>
      </c>
      <c r="D29" s="18">
        <v>0.5</v>
      </c>
      <c r="E29" s="8" t="s">
        <v>554</v>
      </c>
      <c r="F29" s="8"/>
      <c r="G29" s="8">
        <v>10</v>
      </c>
      <c r="H29" s="8">
        <f>(C29+D29*2)*1000</f>
        <v>3500</v>
      </c>
      <c r="I29" s="8">
        <v>4</v>
      </c>
      <c r="J29" s="8">
        <v>0.6169</v>
      </c>
      <c r="K29" s="9">
        <f t="shared" si="3"/>
        <v>8.6366</v>
      </c>
      <c r="L29" s="37">
        <f>K29+K30</f>
        <v>13.00135</v>
      </c>
      <c r="M29" s="35"/>
    </row>
    <row r="30" ht="20" customHeight="1" spans="1:13">
      <c r="A30" s="21"/>
      <c r="B30" s="22"/>
      <c r="C30" s="23"/>
      <c r="D30" s="23"/>
      <c r="E30" s="12" t="s">
        <v>555</v>
      </c>
      <c r="F30" s="12"/>
      <c r="G30" s="12">
        <v>8</v>
      </c>
      <c r="H30" s="12">
        <v>650</v>
      </c>
      <c r="I30" s="12">
        <v>17</v>
      </c>
      <c r="J30" s="12">
        <v>0.395</v>
      </c>
      <c r="K30" s="13">
        <f t="shared" si="3"/>
        <v>4.36475</v>
      </c>
      <c r="L30" s="39"/>
      <c r="M30" s="35"/>
    </row>
    <row r="33" ht="31" customHeight="1" spans="1:10">
      <c r="A33" s="14" t="s">
        <v>591</v>
      </c>
      <c r="B33" s="14"/>
      <c r="C33" s="14"/>
      <c r="D33" s="14"/>
      <c r="E33" s="14"/>
      <c r="F33" s="14"/>
      <c r="G33" s="14"/>
      <c r="H33" s="14"/>
      <c r="I33" s="14"/>
      <c r="J33" s="14"/>
    </row>
    <row r="34" ht="23" customHeight="1" spans="1:11">
      <c r="A34" s="2" t="s">
        <v>2</v>
      </c>
      <c r="B34" s="15" t="s">
        <v>539</v>
      </c>
      <c r="C34" s="15" t="s">
        <v>540</v>
      </c>
      <c r="D34" s="15"/>
      <c r="E34" s="15" t="s">
        <v>592</v>
      </c>
      <c r="F34" s="15" t="s">
        <v>593</v>
      </c>
      <c r="G34" s="15" t="s">
        <v>594</v>
      </c>
      <c r="H34" s="15" t="s">
        <v>285</v>
      </c>
      <c r="I34" s="15" t="s">
        <v>296</v>
      </c>
      <c r="J34" s="15" t="s">
        <v>595</v>
      </c>
      <c r="K34" s="34" t="s">
        <v>141</v>
      </c>
    </row>
    <row r="35" ht="24" spans="1:11">
      <c r="A35" s="5"/>
      <c r="B35" s="8"/>
      <c r="C35" s="8" t="s">
        <v>576</v>
      </c>
      <c r="D35" s="8" t="s">
        <v>549</v>
      </c>
      <c r="E35" s="8" t="s">
        <v>430</v>
      </c>
      <c r="F35" s="8" t="s">
        <v>430</v>
      </c>
      <c r="G35" s="8" t="s">
        <v>430</v>
      </c>
      <c r="H35" s="8" t="s">
        <v>596</v>
      </c>
      <c r="I35" s="8" t="s">
        <v>597</v>
      </c>
      <c r="J35" s="8" t="s">
        <v>598</v>
      </c>
      <c r="K35" s="36" t="s">
        <v>599</v>
      </c>
    </row>
    <row r="36" spans="1:11">
      <c r="A36" s="5">
        <v>1</v>
      </c>
      <c r="B36" s="8" t="s">
        <v>584</v>
      </c>
      <c r="C36" s="9">
        <v>0.6</v>
      </c>
      <c r="D36" s="9">
        <v>0.25</v>
      </c>
      <c r="E36" s="8">
        <v>0.1</v>
      </c>
      <c r="F36" s="8">
        <v>0.6</v>
      </c>
      <c r="G36" s="9">
        <f t="shared" ref="G36:G40" si="7">C36+D36*2</f>
        <v>1.1</v>
      </c>
      <c r="H36" s="8">
        <v>1</v>
      </c>
      <c r="I36" s="40">
        <f t="shared" ref="I36:I40" si="8">(0.6*2+G36*2)*E36</f>
        <v>0.34</v>
      </c>
      <c r="J36" s="41">
        <f t="shared" ref="J36:J40" si="9">L17/1000</f>
        <v>0.00425486</v>
      </c>
      <c r="K36" s="42">
        <f t="shared" ref="K36:K40" si="10">F36*G36*E36</f>
        <v>0.066</v>
      </c>
    </row>
    <row r="37" spans="1:11">
      <c r="A37" s="5"/>
      <c r="B37" s="8"/>
      <c r="C37" s="9"/>
      <c r="D37" s="9"/>
      <c r="E37" s="8"/>
      <c r="F37" s="8"/>
      <c r="G37" s="9"/>
      <c r="H37" s="8"/>
      <c r="I37" s="40"/>
      <c r="J37" s="41"/>
      <c r="K37" s="42"/>
    </row>
    <row r="38" spans="1:11">
      <c r="A38" s="5">
        <v>2</v>
      </c>
      <c r="B38" s="8" t="s">
        <v>585</v>
      </c>
      <c r="C38" s="9">
        <v>0.8</v>
      </c>
      <c r="D38" s="9">
        <v>0.25</v>
      </c>
      <c r="E38" s="8">
        <v>0.1</v>
      </c>
      <c r="F38" s="8">
        <v>0.6</v>
      </c>
      <c r="G38" s="9">
        <f t="shared" si="7"/>
        <v>1.3</v>
      </c>
      <c r="H38" s="8">
        <v>1</v>
      </c>
      <c r="I38" s="40">
        <f t="shared" si="8"/>
        <v>0.38</v>
      </c>
      <c r="J38" s="41">
        <f t="shared" si="9"/>
        <v>0.00500513</v>
      </c>
      <c r="K38" s="42">
        <f t="shared" si="10"/>
        <v>0.078</v>
      </c>
    </row>
    <row r="39" spans="1:11">
      <c r="A39" s="5"/>
      <c r="B39" s="8"/>
      <c r="C39" s="9"/>
      <c r="D39" s="9"/>
      <c r="E39" s="8"/>
      <c r="F39" s="8"/>
      <c r="G39" s="9"/>
      <c r="H39" s="8"/>
      <c r="I39" s="40"/>
      <c r="J39" s="41"/>
      <c r="K39" s="42"/>
    </row>
    <row r="40" spans="1:11">
      <c r="A40" s="5">
        <v>3</v>
      </c>
      <c r="B40" s="8" t="s">
        <v>586</v>
      </c>
      <c r="C40" s="9">
        <v>1</v>
      </c>
      <c r="D40" s="9">
        <v>0.3</v>
      </c>
      <c r="E40" s="8">
        <v>0.1</v>
      </c>
      <c r="F40" s="8">
        <v>0.6</v>
      </c>
      <c r="G40" s="9">
        <f t="shared" si="7"/>
        <v>1.6</v>
      </c>
      <c r="H40" s="8">
        <v>1</v>
      </c>
      <c r="I40" s="40">
        <f t="shared" si="8"/>
        <v>0.44</v>
      </c>
      <c r="J40" s="41">
        <f t="shared" si="9"/>
        <v>0.00600216</v>
      </c>
      <c r="K40" s="42">
        <f t="shared" si="10"/>
        <v>0.096</v>
      </c>
    </row>
    <row r="41" spans="1:11">
      <c r="A41" s="5"/>
      <c r="B41" s="8"/>
      <c r="C41" s="9"/>
      <c r="D41" s="9"/>
      <c r="E41" s="8"/>
      <c r="F41" s="8"/>
      <c r="G41" s="9"/>
      <c r="H41" s="8"/>
      <c r="I41" s="40"/>
      <c r="J41" s="41"/>
      <c r="K41" s="42"/>
    </row>
    <row r="42" spans="1:11">
      <c r="A42" s="5">
        <v>4</v>
      </c>
      <c r="B42" s="8" t="s">
        <v>587</v>
      </c>
      <c r="C42" s="9">
        <v>1.2</v>
      </c>
      <c r="D42" s="9">
        <v>0.3</v>
      </c>
      <c r="E42" s="8">
        <v>0.1</v>
      </c>
      <c r="F42" s="8">
        <v>0.6</v>
      </c>
      <c r="G42" s="9">
        <f t="shared" ref="G42:G46" si="11">C42+D42*2</f>
        <v>1.8</v>
      </c>
      <c r="H42" s="8">
        <v>1</v>
      </c>
      <c r="I42" s="40">
        <f t="shared" ref="I42:I46" si="12">(0.6*2+G42*2)*E42</f>
        <v>0.48</v>
      </c>
      <c r="J42" s="41">
        <f t="shared" ref="J42:J46" si="13">L23/1000</f>
        <v>0.00675243</v>
      </c>
      <c r="K42" s="42">
        <f t="shared" ref="K42:K46" si="14">F42*G42*E42</f>
        <v>0.108</v>
      </c>
    </row>
    <row r="43" spans="1:11">
      <c r="A43" s="5"/>
      <c r="B43" s="8"/>
      <c r="C43" s="9"/>
      <c r="D43" s="9"/>
      <c r="E43" s="8"/>
      <c r="F43" s="8"/>
      <c r="G43" s="9"/>
      <c r="H43" s="8"/>
      <c r="I43" s="40"/>
      <c r="J43" s="41"/>
      <c r="K43" s="42"/>
    </row>
    <row r="44" spans="1:11">
      <c r="A44" s="5">
        <v>5</v>
      </c>
      <c r="B44" s="8" t="s">
        <v>588</v>
      </c>
      <c r="C44" s="9">
        <v>1.5</v>
      </c>
      <c r="D44" s="9">
        <v>0.35</v>
      </c>
      <c r="E44" s="8">
        <v>0.1</v>
      </c>
      <c r="F44" s="8">
        <v>0.6</v>
      </c>
      <c r="G44" s="9">
        <f t="shared" si="11"/>
        <v>2.2</v>
      </c>
      <c r="H44" s="8">
        <v>1</v>
      </c>
      <c r="I44" s="40">
        <f t="shared" si="12"/>
        <v>0.56</v>
      </c>
      <c r="J44" s="41">
        <f t="shared" si="13"/>
        <v>0.00825297</v>
      </c>
      <c r="K44" s="42">
        <f t="shared" si="14"/>
        <v>0.132</v>
      </c>
    </row>
    <row r="45" spans="1:11">
      <c r="A45" s="5"/>
      <c r="B45" s="8"/>
      <c r="C45" s="9"/>
      <c r="D45" s="9"/>
      <c r="E45" s="8"/>
      <c r="F45" s="8"/>
      <c r="G45" s="9"/>
      <c r="H45" s="8"/>
      <c r="I45" s="40"/>
      <c r="J45" s="41"/>
      <c r="K45" s="42"/>
    </row>
    <row r="46" spans="1:11">
      <c r="A46" s="5">
        <v>6</v>
      </c>
      <c r="B46" s="8" t="s">
        <v>589</v>
      </c>
      <c r="C46" s="9">
        <v>2</v>
      </c>
      <c r="D46" s="9">
        <v>0.4</v>
      </c>
      <c r="E46" s="8">
        <v>0.1</v>
      </c>
      <c r="F46" s="8">
        <v>0.6</v>
      </c>
      <c r="G46" s="9">
        <f t="shared" si="11"/>
        <v>2.8</v>
      </c>
      <c r="H46" s="8">
        <v>1</v>
      </c>
      <c r="I46" s="40">
        <f t="shared" si="12"/>
        <v>0.68</v>
      </c>
      <c r="J46" s="41">
        <f t="shared" si="13"/>
        <v>0.01050378</v>
      </c>
      <c r="K46" s="42">
        <f t="shared" si="14"/>
        <v>0.168</v>
      </c>
    </row>
    <row r="47" spans="1:11">
      <c r="A47" s="5"/>
      <c r="B47" s="8"/>
      <c r="C47" s="9"/>
      <c r="D47" s="9"/>
      <c r="E47" s="8"/>
      <c r="F47" s="8"/>
      <c r="G47" s="9"/>
      <c r="H47" s="8"/>
      <c r="I47" s="40"/>
      <c r="J47" s="41"/>
      <c r="K47" s="42"/>
    </row>
    <row r="48" spans="1:11">
      <c r="A48" s="5">
        <v>7</v>
      </c>
      <c r="B48" s="8" t="s">
        <v>590</v>
      </c>
      <c r="C48" s="9">
        <v>2.5</v>
      </c>
      <c r="D48" s="9">
        <v>0.5</v>
      </c>
      <c r="E48" s="8">
        <v>0.1</v>
      </c>
      <c r="F48" s="8">
        <v>0.6</v>
      </c>
      <c r="G48" s="9">
        <f>C48+D48*2</f>
        <v>3.5</v>
      </c>
      <c r="H48" s="8">
        <v>1</v>
      </c>
      <c r="I48" s="40">
        <f>(0.6*2+G48*2)*E48</f>
        <v>0.82</v>
      </c>
      <c r="J48" s="41">
        <f>L29/1000</f>
        <v>0.01300135</v>
      </c>
      <c r="K48" s="42">
        <f>F48*G48*E48</f>
        <v>0.21</v>
      </c>
    </row>
    <row r="49" ht="14.25" spans="1:11">
      <c r="A49" s="11"/>
      <c r="B49" s="12"/>
      <c r="C49" s="13"/>
      <c r="D49" s="13"/>
      <c r="E49" s="12"/>
      <c r="F49" s="12"/>
      <c r="G49" s="13"/>
      <c r="H49" s="12"/>
      <c r="I49" s="43"/>
      <c r="J49" s="44"/>
      <c r="K49" s="45"/>
    </row>
  </sheetData>
  <mergeCells count="167">
    <mergeCell ref="A1:J1"/>
    <mergeCell ref="N1:S1"/>
    <mergeCell ref="A14:L14"/>
    <mergeCell ref="C15:D15"/>
    <mergeCell ref="A33:J33"/>
    <mergeCell ref="C34:D34"/>
    <mergeCell ref="A2:A3"/>
    <mergeCell ref="A4:A5"/>
    <mergeCell ref="A6:A7"/>
    <mergeCell ref="A8:A9"/>
    <mergeCell ref="A10:A11"/>
    <mergeCell ref="A15:A16"/>
    <mergeCell ref="A17:A18"/>
    <mergeCell ref="A19:A20"/>
    <mergeCell ref="A21:A22"/>
    <mergeCell ref="A23:A24"/>
    <mergeCell ref="A25:A26"/>
    <mergeCell ref="A27:A28"/>
    <mergeCell ref="A29:A30"/>
    <mergeCell ref="A34:A35"/>
    <mergeCell ref="A36:A37"/>
    <mergeCell ref="A38:A39"/>
    <mergeCell ref="A40:A41"/>
    <mergeCell ref="A42:A43"/>
    <mergeCell ref="A44:A45"/>
    <mergeCell ref="A46:A47"/>
    <mergeCell ref="A48:A49"/>
    <mergeCell ref="B2:B3"/>
    <mergeCell ref="B4:B5"/>
    <mergeCell ref="B6:B7"/>
    <mergeCell ref="B8:B9"/>
    <mergeCell ref="B10:B11"/>
    <mergeCell ref="B15:B16"/>
    <mergeCell ref="B17:B18"/>
    <mergeCell ref="B19:B20"/>
    <mergeCell ref="B21:B22"/>
    <mergeCell ref="B23:B24"/>
    <mergeCell ref="B25:B26"/>
    <mergeCell ref="B27:B28"/>
    <mergeCell ref="B29:B30"/>
    <mergeCell ref="B34:B35"/>
    <mergeCell ref="B36:B37"/>
    <mergeCell ref="B38:B39"/>
    <mergeCell ref="B40:B41"/>
    <mergeCell ref="B42:B43"/>
    <mergeCell ref="B44:B45"/>
    <mergeCell ref="B46:B47"/>
    <mergeCell ref="B48:B49"/>
    <mergeCell ref="C4:C5"/>
    <mergeCell ref="C6:C7"/>
    <mergeCell ref="C8:C9"/>
    <mergeCell ref="C10:C11"/>
    <mergeCell ref="C17:C18"/>
    <mergeCell ref="C19:C20"/>
    <mergeCell ref="C21:C22"/>
    <mergeCell ref="C23:C24"/>
    <mergeCell ref="C25:C26"/>
    <mergeCell ref="C27:C28"/>
    <mergeCell ref="C29:C30"/>
    <mergeCell ref="C36:C37"/>
    <mergeCell ref="C38:C39"/>
    <mergeCell ref="C40:C41"/>
    <mergeCell ref="C42:C43"/>
    <mergeCell ref="C44:C45"/>
    <mergeCell ref="C46:C47"/>
    <mergeCell ref="C48:C49"/>
    <mergeCell ref="D4:D5"/>
    <mergeCell ref="D6:D7"/>
    <mergeCell ref="D8:D9"/>
    <mergeCell ref="D10:D11"/>
    <mergeCell ref="D17:D18"/>
    <mergeCell ref="D19:D20"/>
    <mergeCell ref="D21:D22"/>
    <mergeCell ref="D23:D24"/>
    <mergeCell ref="D25:D26"/>
    <mergeCell ref="D27:D28"/>
    <mergeCell ref="D29:D30"/>
    <mergeCell ref="D36:D37"/>
    <mergeCell ref="D38:D39"/>
    <mergeCell ref="D40:D41"/>
    <mergeCell ref="D42:D43"/>
    <mergeCell ref="D44:D45"/>
    <mergeCell ref="D46:D47"/>
    <mergeCell ref="D48:D49"/>
    <mergeCell ref="E4:E5"/>
    <mergeCell ref="E6:E7"/>
    <mergeCell ref="E8:E9"/>
    <mergeCell ref="E10:E11"/>
    <mergeCell ref="E15:E16"/>
    <mergeCell ref="E36:E37"/>
    <mergeCell ref="E38:E39"/>
    <mergeCell ref="E40:E41"/>
    <mergeCell ref="E42:E43"/>
    <mergeCell ref="E44:E45"/>
    <mergeCell ref="E46:E47"/>
    <mergeCell ref="E48:E49"/>
    <mergeCell ref="F4:F5"/>
    <mergeCell ref="F6:F7"/>
    <mergeCell ref="F8:F9"/>
    <mergeCell ref="F10:F11"/>
    <mergeCell ref="F15:F16"/>
    <mergeCell ref="F36:F37"/>
    <mergeCell ref="F38:F39"/>
    <mergeCell ref="F40:F41"/>
    <mergeCell ref="F42:F43"/>
    <mergeCell ref="F44:F45"/>
    <mergeCell ref="F46:F47"/>
    <mergeCell ref="F48:F49"/>
    <mergeCell ref="G4:G5"/>
    <mergeCell ref="G6:G7"/>
    <mergeCell ref="G8:G9"/>
    <mergeCell ref="G10:G11"/>
    <mergeCell ref="G36:G37"/>
    <mergeCell ref="G38:G39"/>
    <mergeCell ref="G40:G41"/>
    <mergeCell ref="G42:G43"/>
    <mergeCell ref="G44:G45"/>
    <mergeCell ref="G46:G47"/>
    <mergeCell ref="G48:G49"/>
    <mergeCell ref="H4:H5"/>
    <mergeCell ref="H6:H7"/>
    <mergeCell ref="H8:H9"/>
    <mergeCell ref="H10:H11"/>
    <mergeCell ref="H36:H37"/>
    <mergeCell ref="H38:H39"/>
    <mergeCell ref="H40:H41"/>
    <mergeCell ref="H42:H43"/>
    <mergeCell ref="H44:H45"/>
    <mergeCell ref="H46:H47"/>
    <mergeCell ref="H48:H49"/>
    <mergeCell ref="I4:I5"/>
    <mergeCell ref="I6:I7"/>
    <mergeCell ref="I8:I9"/>
    <mergeCell ref="I10:I11"/>
    <mergeCell ref="I36:I37"/>
    <mergeCell ref="I38:I39"/>
    <mergeCell ref="I40:I41"/>
    <mergeCell ref="I42:I43"/>
    <mergeCell ref="I44:I45"/>
    <mergeCell ref="I46:I47"/>
    <mergeCell ref="I48:I49"/>
    <mergeCell ref="J4:J5"/>
    <mergeCell ref="J6:J7"/>
    <mergeCell ref="J8:J9"/>
    <mergeCell ref="J10:J11"/>
    <mergeCell ref="J36:J37"/>
    <mergeCell ref="J38:J39"/>
    <mergeCell ref="J40:J41"/>
    <mergeCell ref="J42:J43"/>
    <mergeCell ref="J44:J45"/>
    <mergeCell ref="J46:J47"/>
    <mergeCell ref="J48:J49"/>
    <mergeCell ref="K36:K37"/>
    <mergeCell ref="K38:K39"/>
    <mergeCell ref="K40:K41"/>
    <mergeCell ref="K42:K43"/>
    <mergeCell ref="K44:K45"/>
    <mergeCell ref="K46:K47"/>
    <mergeCell ref="K48:K49"/>
    <mergeCell ref="L17:L18"/>
    <mergeCell ref="L19:L20"/>
    <mergeCell ref="L21:L22"/>
    <mergeCell ref="L23:L24"/>
    <mergeCell ref="L25:L26"/>
    <mergeCell ref="L27:L28"/>
    <mergeCell ref="L29:L30"/>
    <mergeCell ref="M1:M2"/>
  </mergeCells>
  <pageMargins left="0.75" right="0.75" top="1" bottom="1" header="0.5" footer="0.5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36"/>
  <sheetViews>
    <sheetView tabSelected="1" topLeftCell="A12" workbookViewId="0">
      <selection activeCell="I28" sqref="I28"/>
    </sheetView>
  </sheetViews>
  <sheetFormatPr defaultColWidth="9" defaultRowHeight="13.5"/>
  <cols>
    <col min="1" max="1" width="6.2" customWidth="1"/>
    <col min="2" max="2" width="15.65" customWidth="1"/>
    <col min="3" max="3" width="11.5" customWidth="1"/>
    <col min="4" max="4" width="36.375" customWidth="1"/>
    <col min="5" max="5" width="18" customWidth="1"/>
    <col min="6" max="6" width="11.375" customWidth="1"/>
    <col min="7" max="7" width="3.375" customWidth="1"/>
    <col min="8" max="8" width="11.5" customWidth="1"/>
    <col min="9" max="9" width="35.25" customWidth="1"/>
    <col min="10" max="10" width="18.75" customWidth="1"/>
    <col min="11" max="11" width="11.25" customWidth="1"/>
    <col min="12" max="12" width="13.5916666666667" customWidth="1"/>
  </cols>
  <sheetData>
    <row r="1" ht="6" customHeight="1"/>
    <row r="2" ht="52" customHeight="1" spans="2:12">
      <c r="B2" s="458"/>
      <c r="C2" s="459"/>
      <c r="D2" s="459"/>
      <c r="E2" s="459"/>
      <c r="F2" s="459"/>
      <c r="G2" s="460"/>
      <c r="H2" s="460"/>
      <c r="I2" s="460"/>
      <c r="J2" s="460"/>
      <c r="K2" s="460"/>
      <c r="L2" s="479"/>
    </row>
    <row r="3" ht="34" customHeight="1" spans="2:12">
      <c r="B3" s="461"/>
      <c r="C3" s="462" t="s">
        <v>61</v>
      </c>
      <c r="D3" s="462"/>
      <c r="E3" s="462"/>
      <c r="F3" s="462"/>
      <c r="G3" s="462"/>
      <c r="H3" s="462"/>
      <c r="I3" s="462"/>
      <c r="J3" s="462"/>
      <c r="K3" s="462"/>
      <c r="L3" s="480"/>
    </row>
    <row r="4" ht="21" customHeight="1" spans="2:12">
      <c r="B4" s="461"/>
      <c r="L4" s="480"/>
    </row>
    <row r="5" ht="10" customHeight="1" spans="2:12">
      <c r="B5" s="461"/>
      <c r="L5" s="480"/>
    </row>
    <row r="6" s="455" customFormat="1" ht="30" customHeight="1" spans="2:12">
      <c r="B6" s="463"/>
      <c r="C6" s="464" t="s">
        <v>2</v>
      </c>
      <c r="D6" s="465" t="s">
        <v>3</v>
      </c>
      <c r="E6" s="465" t="s">
        <v>4</v>
      </c>
      <c r="F6" s="466" t="s">
        <v>5</v>
      </c>
      <c r="H6" s="464" t="s">
        <v>2</v>
      </c>
      <c r="I6" s="465" t="s">
        <v>3</v>
      </c>
      <c r="J6" s="465" t="s">
        <v>4</v>
      </c>
      <c r="K6" s="466" t="s">
        <v>5</v>
      </c>
      <c r="L6" s="481"/>
    </row>
    <row r="7" s="455" customFormat="1" ht="30" customHeight="1" spans="2:12">
      <c r="B7" s="463"/>
      <c r="C7" s="467">
        <v>1</v>
      </c>
      <c r="D7" s="468" t="s">
        <v>8</v>
      </c>
      <c r="E7" s="469" t="s">
        <v>7</v>
      </c>
      <c r="F7" s="470"/>
      <c r="H7" s="467">
        <v>19</v>
      </c>
      <c r="I7" s="468" t="s">
        <v>40</v>
      </c>
      <c r="J7" s="469" t="s">
        <v>41</v>
      </c>
      <c r="K7" s="470"/>
      <c r="L7" s="481"/>
    </row>
    <row r="8" s="455" customFormat="1" ht="30" customHeight="1" spans="2:12">
      <c r="B8" s="463"/>
      <c r="C8" s="467">
        <v>2</v>
      </c>
      <c r="D8" s="468" t="s">
        <v>6</v>
      </c>
      <c r="E8" s="469" t="s">
        <v>9</v>
      </c>
      <c r="F8" s="470"/>
      <c r="H8" s="467">
        <v>20</v>
      </c>
      <c r="I8" s="468" t="s">
        <v>42</v>
      </c>
      <c r="J8" s="469" t="s">
        <v>43</v>
      </c>
      <c r="K8" s="470"/>
      <c r="L8" s="481"/>
    </row>
    <row r="9" s="455" customFormat="1" ht="30" customHeight="1" spans="2:12">
      <c r="B9" s="463"/>
      <c r="C9" s="467">
        <v>3</v>
      </c>
      <c r="D9" s="471" t="s">
        <v>10</v>
      </c>
      <c r="E9" s="469"/>
      <c r="F9" s="470"/>
      <c r="H9" s="467">
        <v>21</v>
      </c>
      <c r="I9" s="468" t="s">
        <v>44</v>
      </c>
      <c r="J9" s="469" t="s">
        <v>45</v>
      </c>
      <c r="K9" s="470"/>
      <c r="L9" s="481"/>
    </row>
    <row r="10" s="455" customFormat="1" ht="30" customHeight="1" spans="2:12">
      <c r="B10" s="463"/>
      <c r="C10" s="467">
        <v>4</v>
      </c>
      <c r="D10" s="468" t="s">
        <v>11</v>
      </c>
      <c r="E10" s="469" t="s">
        <v>12</v>
      </c>
      <c r="F10" s="470"/>
      <c r="H10" s="467">
        <v>22</v>
      </c>
      <c r="I10" s="471" t="s">
        <v>46</v>
      </c>
      <c r="J10" s="449"/>
      <c r="K10" s="470"/>
      <c r="L10" s="481"/>
    </row>
    <row r="11" s="455" customFormat="1" ht="30" customHeight="1" spans="2:12">
      <c r="B11" s="463"/>
      <c r="C11" s="467">
        <v>5</v>
      </c>
      <c r="D11" s="468" t="s">
        <v>13</v>
      </c>
      <c r="E11" s="469" t="s">
        <v>14</v>
      </c>
      <c r="F11" s="470"/>
      <c r="H11" s="467">
        <v>23</v>
      </c>
      <c r="I11" s="468" t="s">
        <v>47</v>
      </c>
      <c r="J11" s="469" t="s">
        <v>48</v>
      </c>
      <c r="K11" s="470"/>
      <c r="L11" s="481"/>
    </row>
    <row r="12" s="455" customFormat="1" ht="30" customHeight="1" spans="2:12">
      <c r="B12" s="463"/>
      <c r="C12" s="467">
        <v>6</v>
      </c>
      <c r="D12" s="468" t="s">
        <v>15</v>
      </c>
      <c r="E12" s="469" t="s">
        <v>16</v>
      </c>
      <c r="F12" s="470"/>
      <c r="H12" s="467">
        <v>24</v>
      </c>
      <c r="I12" s="468" t="s">
        <v>49</v>
      </c>
      <c r="J12" s="469" t="s">
        <v>50</v>
      </c>
      <c r="K12" s="470"/>
      <c r="L12" s="481"/>
    </row>
    <row r="13" s="455" customFormat="1" ht="30" customHeight="1" spans="2:12">
      <c r="B13" s="463"/>
      <c r="C13" s="467">
        <v>7</v>
      </c>
      <c r="D13" s="468" t="s">
        <v>17</v>
      </c>
      <c r="E13" s="469" t="s">
        <v>18</v>
      </c>
      <c r="F13" s="470"/>
      <c r="H13" s="467">
        <v>25</v>
      </c>
      <c r="I13" s="468" t="s">
        <v>51</v>
      </c>
      <c r="J13" s="469" t="s">
        <v>52</v>
      </c>
      <c r="K13" s="470"/>
      <c r="L13" s="481"/>
    </row>
    <row r="14" s="455" customFormat="1" ht="30" customHeight="1" spans="2:12">
      <c r="B14" s="463"/>
      <c r="C14" s="467">
        <v>8</v>
      </c>
      <c r="D14" s="449" t="s">
        <v>19</v>
      </c>
      <c r="E14" s="469" t="s">
        <v>20</v>
      </c>
      <c r="F14" s="470"/>
      <c r="H14" s="467">
        <v>26</v>
      </c>
      <c r="I14" s="471" t="s">
        <v>53</v>
      </c>
      <c r="J14" s="449"/>
      <c r="K14" s="482"/>
      <c r="L14" s="481"/>
    </row>
    <row r="15" s="455" customFormat="1" ht="30" customHeight="1" spans="2:12">
      <c r="B15" s="463"/>
      <c r="C15" s="467">
        <v>9</v>
      </c>
      <c r="D15" s="468" t="s">
        <v>21</v>
      </c>
      <c r="E15" s="469" t="s">
        <v>22</v>
      </c>
      <c r="F15" s="470"/>
      <c r="H15" s="467">
        <v>27</v>
      </c>
      <c r="I15" s="449" t="s">
        <v>54</v>
      </c>
      <c r="J15" s="469" t="s">
        <v>55</v>
      </c>
      <c r="K15" s="482"/>
      <c r="L15" s="481"/>
    </row>
    <row r="16" s="455" customFormat="1" ht="30" customHeight="1" spans="2:12">
      <c r="B16" s="463"/>
      <c r="C16" s="467">
        <v>10</v>
      </c>
      <c r="D16" s="468" t="s">
        <v>23</v>
      </c>
      <c r="E16" s="469" t="s">
        <v>24</v>
      </c>
      <c r="F16" s="470"/>
      <c r="H16" s="467">
        <v>28</v>
      </c>
      <c r="I16" s="471" t="s">
        <v>56</v>
      </c>
      <c r="J16" s="449"/>
      <c r="K16" s="482"/>
      <c r="L16" s="481"/>
    </row>
    <row r="17" s="455" customFormat="1" ht="30" customHeight="1" spans="2:12">
      <c r="B17" s="463"/>
      <c r="C17" s="467">
        <v>11</v>
      </c>
      <c r="D17" s="468" t="s">
        <v>25</v>
      </c>
      <c r="E17" s="469" t="s">
        <v>26</v>
      </c>
      <c r="F17" s="470"/>
      <c r="H17" s="467">
        <v>29</v>
      </c>
      <c r="I17" s="468" t="s">
        <v>57</v>
      </c>
      <c r="J17" s="469" t="s">
        <v>58</v>
      </c>
      <c r="K17" s="482"/>
      <c r="L17" s="481"/>
    </row>
    <row r="18" s="455" customFormat="1" ht="30" customHeight="1" spans="2:12">
      <c r="B18" s="463"/>
      <c r="C18" s="467">
        <v>12</v>
      </c>
      <c r="D18" s="468" t="s">
        <v>27</v>
      </c>
      <c r="E18" s="469" t="s">
        <v>28</v>
      </c>
      <c r="F18" s="470"/>
      <c r="H18" s="472">
        <v>30</v>
      </c>
      <c r="I18" s="483" t="s">
        <v>59</v>
      </c>
      <c r="J18" s="484" t="s">
        <v>60</v>
      </c>
      <c r="K18" s="485"/>
      <c r="L18" s="481"/>
    </row>
    <row r="19" s="455" customFormat="1" ht="30" customHeight="1" spans="2:12">
      <c r="B19" s="463"/>
      <c r="C19" s="467">
        <v>13</v>
      </c>
      <c r="D19" s="471" t="s">
        <v>29</v>
      </c>
      <c r="E19" s="449"/>
      <c r="F19" s="470"/>
      <c r="H19" s="467">
        <v>31</v>
      </c>
      <c r="I19" s="449"/>
      <c r="J19" s="449"/>
      <c r="K19" s="482"/>
      <c r="L19" s="481"/>
    </row>
    <row r="20" s="455" customFormat="1" ht="30" customHeight="1" spans="2:12">
      <c r="B20" s="463"/>
      <c r="C20" s="467">
        <v>14</v>
      </c>
      <c r="D20" s="468" t="s">
        <v>30</v>
      </c>
      <c r="E20" s="469" t="s">
        <v>31</v>
      </c>
      <c r="F20" s="470"/>
      <c r="H20" s="472">
        <v>32</v>
      </c>
      <c r="I20" s="449"/>
      <c r="J20" s="449"/>
      <c r="K20" s="482"/>
      <c r="L20" s="481"/>
    </row>
    <row r="21" s="455" customFormat="1" ht="30" customHeight="1" spans="2:12">
      <c r="B21" s="463"/>
      <c r="C21" s="467">
        <v>15</v>
      </c>
      <c r="D21" s="468" t="s">
        <v>32</v>
      </c>
      <c r="E21" s="469" t="s">
        <v>33</v>
      </c>
      <c r="F21" s="470"/>
      <c r="H21" s="467">
        <v>33</v>
      </c>
      <c r="I21" s="449"/>
      <c r="J21" s="449"/>
      <c r="K21" s="482"/>
      <c r="L21" s="481"/>
    </row>
    <row r="22" s="455" customFormat="1" ht="30" customHeight="1" spans="2:12">
      <c r="B22" s="463"/>
      <c r="C22" s="467">
        <v>16</v>
      </c>
      <c r="D22" s="468" t="s">
        <v>34</v>
      </c>
      <c r="E22" s="469" t="s">
        <v>35</v>
      </c>
      <c r="F22" s="470"/>
      <c r="H22" s="472">
        <v>34</v>
      </c>
      <c r="I22" s="449"/>
      <c r="J22" s="449"/>
      <c r="K22" s="482"/>
      <c r="L22" s="481"/>
    </row>
    <row r="23" s="455" customFormat="1" ht="30" customHeight="1" spans="2:12">
      <c r="B23" s="463"/>
      <c r="C23" s="467">
        <v>17</v>
      </c>
      <c r="D23" s="468" t="s">
        <v>36</v>
      </c>
      <c r="E23" s="469" t="s">
        <v>37</v>
      </c>
      <c r="F23" s="470"/>
      <c r="H23" s="467">
        <v>35</v>
      </c>
      <c r="I23" s="449"/>
      <c r="J23" s="449"/>
      <c r="K23" s="482"/>
      <c r="L23" s="481"/>
    </row>
    <row r="24" s="455" customFormat="1" ht="30" customHeight="1" spans="2:12">
      <c r="B24" s="463"/>
      <c r="C24" s="473">
        <v>18</v>
      </c>
      <c r="D24" s="474" t="s">
        <v>38</v>
      </c>
      <c r="E24" s="475" t="s">
        <v>39</v>
      </c>
      <c r="F24" s="476"/>
      <c r="H24" s="473">
        <v>36</v>
      </c>
      <c r="I24" s="486"/>
      <c r="J24" s="486"/>
      <c r="K24" s="487"/>
      <c r="L24" s="481"/>
    </row>
    <row r="25" s="455" customFormat="1" ht="48" customHeight="1" spans="2:12">
      <c r="B25" s="463"/>
      <c r="L25" s="481"/>
    </row>
    <row r="26" s="455" customFormat="1" ht="30" customHeight="1" spans="2:12">
      <c r="B26" s="477"/>
      <c r="C26" s="478"/>
      <c r="D26" s="478"/>
      <c r="E26" s="478"/>
      <c r="F26" s="478"/>
      <c r="G26" s="478"/>
      <c r="H26" s="478"/>
      <c r="I26" s="478"/>
      <c r="J26" s="478"/>
      <c r="K26" s="478"/>
      <c r="L26" s="488"/>
    </row>
    <row r="27" s="455" customFormat="1" ht="30" customHeight="1"/>
    <row r="28" s="455" customFormat="1" ht="30" customHeight="1"/>
    <row r="29" s="455" customFormat="1" ht="30" customHeight="1"/>
    <row r="30" s="455" customFormat="1" ht="30" customHeight="1"/>
    <row r="31" s="455" customFormat="1" ht="30" customHeight="1"/>
    <row r="32" s="455" customFormat="1" ht="30" customHeight="1"/>
    <row r="33" s="455" customFormat="1" ht="30" customHeight="1"/>
    <row r="34" s="455" customFormat="1" ht="30" customHeight="1"/>
    <row r="35" s="455" customFormat="1" ht="30" customHeight="1"/>
    <row r="36" ht="30" customHeight="1"/>
  </sheetData>
  <mergeCells count="2">
    <mergeCell ref="C2:F2"/>
    <mergeCell ref="C3:K3"/>
  </mergeCells>
  <pageMargins left="1.18055555555556" right="0.393055555555556" top="0.393055555555556" bottom="0.393055555555556" header="0" footer="0"/>
  <pageSetup paperSize="8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3"/>
  <sheetViews>
    <sheetView workbookViewId="0">
      <selection activeCell="C12" sqref="C12"/>
    </sheetView>
  </sheetViews>
  <sheetFormatPr defaultColWidth="9" defaultRowHeight="13.5" outlineLevelCol="2"/>
  <cols>
    <col min="1" max="1" width="16.625" customWidth="1"/>
    <col min="2" max="2" width="28.75" customWidth="1"/>
    <col min="3" max="3" width="37.75" customWidth="1"/>
  </cols>
  <sheetData>
    <row r="1" ht="25" customHeight="1" spans="1:3">
      <c r="A1" s="189" t="s">
        <v>0</v>
      </c>
      <c r="B1" s="189"/>
      <c r="C1" s="189"/>
    </row>
    <row r="2" ht="21" customHeight="1"/>
    <row r="3" ht="4" customHeight="1" spans="1:3">
      <c r="A3" s="455"/>
      <c r="B3" s="455"/>
      <c r="C3" s="455"/>
    </row>
    <row r="4" s="455" customFormat="1" ht="24" customHeight="1"/>
    <row r="5" s="455" customFormat="1" ht="24" customHeight="1"/>
    <row r="6" s="455" customFormat="1" ht="24" customHeight="1"/>
    <row r="7" s="455" customFormat="1" ht="24" customHeight="1"/>
    <row r="8" s="455" customFormat="1" ht="24" customHeight="1"/>
    <row r="9" s="455" customFormat="1" ht="47" customHeight="1"/>
    <row r="10" s="455" customFormat="1" ht="46" customHeight="1" spans="1:3">
      <c r="A10" s="456" t="s">
        <v>62</v>
      </c>
      <c r="B10" s="456"/>
      <c r="C10" s="456"/>
    </row>
    <row r="11" s="455" customFormat="1" ht="45" customHeight="1" spans="1:3">
      <c r="A11" s="228" t="s">
        <v>63</v>
      </c>
      <c r="B11" s="228"/>
      <c r="C11" s="228"/>
    </row>
    <row r="12" s="455" customFormat="1" ht="24" customHeight="1"/>
    <row r="13" s="455" customFormat="1" ht="24" customHeight="1"/>
    <row r="14" s="455" customFormat="1" ht="24" customHeight="1"/>
    <row r="15" s="455" customFormat="1" ht="24" customHeight="1"/>
    <row r="16" s="455" customFormat="1" ht="24" customHeight="1"/>
    <row r="17" s="455" customFormat="1" ht="24" customHeight="1"/>
    <row r="18" s="455" customFormat="1" ht="24" customHeight="1"/>
    <row r="19" s="455" customFormat="1" ht="89" customHeight="1" spans="1:3">
      <c r="A19" s="457"/>
      <c r="B19" s="457"/>
      <c r="C19" s="457"/>
    </row>
    <row r="20" s="455" customFormat="1" ht="24" customHeight="1" spans="1:3">
      <c r="A20" s="457" t="s">
        <v>64</v>
      </c>
      <c r="B20" s="457"/>
      <c r="C20" s="457"/>
    </row>
    <row r="21" s="455" customFormat="1" ht="24" customHeight="1" spans="1:3">
      <c r="A21" s="457" t="s">
        <v>65</v>
      </c>
      <c r="B21" s="457"/>
      <c r="C21" s="457"/>
    </row>
    <row r="22" s="455" customFormat="1" ht="24" customHeight="1"/>
    <row r="23" s="455" customFormat="1" ht="24" customHeight="1"/>
    <row r="24" s="455" customFormat="1" ht="24" customHeight="1"/>
    <row r="25" s="455" customFormat="1" ht="24" customHeight="1"/>
    <row r="26" s="455" customFormat="1" ht="24" customHeight="1"/>
    <row r="27" s="455" customFormat="1" ht="24" customHeight="1"/>
    <row r="28" s="455" customFormat="1" ht="24" customHeight="1"/>
    <row r="29" s="455" customFormat="1" ht="24" customHeight="1"/>
    <row r="30" s="455" customFormat="1" ht="24" customHeight="1"/>
    <row r="31" s="455" customFormat="1" ht="24" customHeight="1"/>
    <row r="32" s="455" customFormat="1" ht="24" customHeight="1"/>
    <row r="33" s="455" customFormat="1" ht="24" customHeight="1"/>
  </sheetData>
  <mergeCells count="6">
    <mergeCell ref="A1:C1"/>
    <mergeCell ref="A10:C10"/>
    <mergeCell ref="A11:C11"/>
    <mergeCell ref="A19:C19"/>
    <mergeCell ref="A20:C20"/>
    <mergeCell ref="A21:C21"/>
  </mergeCells>
  <pageMargins left="0.826388888888889" right="0.826388888888889" top="1.25972222222222" bottom="0.826388888888889" header="0" footer="0.6687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29"/>
  <sheetViews>
    <sheetView topLeftCell="A4" workbookViewId="0">
      <selection activeCell="G10" sqref="G10"/>
    </sheetView>
  </sheetViews>
  <sheetFormatPr defaultColWidth="9" defaultRowHeight="13.5" outlineLevelCol="4"/>
  <cols>
    <col min="1" max="1" width="2.3" style="443" customWidth="1"/>
    <col min="2" max="2" width="10.1" style="443" customWidth="1"/>
    <col min="3" max="3" width="41.625" style="443" customWidth="1"/>
    <col min="4" max="4" width="12.25" style="443" customWidth="1"/>
    <col min="5" max="5" width="12.775" style="443" customWidth="1"/>
    <col min="6" max="16384" width="9" style="443"/>
  </cols>
  <sheetData>
    <row r="1" ht="46" customHeight="1" spans="2:5">
      <c r="B1" s="189" t="s">
        <v>0</v>
      </c>
      <c r="C1" s="189"/>
      <c r="D1" s="189"/>
      <c r="E1" s="189"/>
    </row>
    <row r="2" ht="62" customHeight="1" spans="2:5">
      <c r="B2" s="437" t="s">
        <v>66</v>
      </c>
      <c r="C2" s="437"/>
      <c r="D2" s="437"/>
      <c r="E2" s="437"/>
    </row>
    <row r="3" ht="14.25"/>
    <row r="4" ht="50" customHeight="1" spans="2:5">
      <c r="B4" s="444" t="s">
        <v>2</v>
      </c>
      <c r="C4" s="445" t="s">
        <v>67</v>
      </c>
      <c r="D4" s="445" t="s">
        <v>68</v>
      </c>
      <c r="E4" s="446" t="s">
        <v>5</v>
      </c>
    </row>
    <row r="5" ht="50" customHeight="1" spans="2:5">
      <c r="B5" s="447" t="s">
        <v>69</v>
      </c>
      <c r="C5" s="441" t="s">
        <v>70</v>
      </c>
      <c r="D5" s="438">
        <v>3</v>
      </c>
      <c r="E5" s="448"/>
    </row>
    <row r="6" ht="50" customHeight="1" spans="2:5">
      <c r="B6" s="447" t="s">
        <v>71</v>
      </c>
      <c r="C6" s="441" t="s">
        <v>72</v>
      </c>
      <c r="D6" s="438">
        <v>4</v>
      </c>
      <c r="E6" s="448"/>
    </row>
    <row r="7" ht="50" customHeight="1" spans="2:5">
      <c r="B7" s="447" t="s">
        <v>73</v>
      </c>
      <c r="C7" s="441" t="s">
        <v>74</v>
      </c>
      <c r="D7" s="438">
        <v>1</v>
      </c>
      <c r="E7" s="448"/>
    </row>
    <row r="8" ht="50" customHeight="1" spans="2:5">
      <c r="B8" s="447" t="s">
        <v>75</v>
      </c>
      <c r="C8" s="449" t="s">
        <v>76</v>
      </c>
      <c r="D8" s="438">
        <v>79</v>
      </c>
      <c r="E8" s="448"/>
    </row>
    <row r="9" ht="50" customHeight="1" spans="2:5">
      <c r="B9" s="447" t="s">
        <v>77</v>
      </c>
      <c r="C9" s="441" t="s">
        <v>78</v>
      </c>
      <c r="D9" s="438">
        <v>9</v>
      </c>
      <c r="E9" s="448"/>
    </row>
    <row r="10" ht="50" customHeight="1" spans="2:5">
      <c r="B10" s="447" t="s">
        <v>79</v>
      </c>
      <c r="C10" s="450" t="s">
        <v>80</v>
      </c>
      <c r="D10" s="438">
        <v>5</v>
      </c>
      <c r="E10" s="448"/>
    </row>
    <row r="11" ht="50" customHeight="1" spans="2:5">
      <c r="B11" s="447" t="s">
        <v>81</v>
      </c>
      <c r="C11" s="441" t="s">
        <v>82</v>
      </c>
      <c r="D11" s="438">
        <v>31</v>
      </c>
      <c r="E11" s="448"/>
    </row>
    <row r="12" ht="50" customHeight="1" spans="2:5">
      <c r="B12" s="451" t="s">
        <v>83</v>
      </c>
      <c r="C12" s="452" t="s">
        <v>84</v>
      </c>
      <c r="D12" s="453">
        <v>34</v>
      </c>
      <c r="E12" s="454"/>
    </row>
    <row r="13" ht="50" customHeight="1"/>
    <row r="14" ht="50" customHeight="1"/>
    <row r="15" ht="50" customHeight="1"/>
    <row r="16" ht="50" customHeight="1"/>
    <row r="17" ht="50" customHeight="1"/>
    <row r="18" ht="50" customHeight="1"/>
    <row r="19" ht="50" customHeight="1"/>
    <row r="20" ht="50" customHeight="1"/>
    <row r="21" ht="50" customHeight="1"/>
    <row r="22" ht="50" customHeight="1"/>
    <row r="23" ht="50" customHeight="1"/>
    <row r="24" ht="50" customHeight="1"/>
    <row r="25" ht="50" customHeight="1"/>
    <row r="26" ht="50" customHeight="1"/>
    <row r="27" ht="50" customHeight="1"/>
    <row r="28" ht="50" customHeight="1"/>
    <row r="29" ht="50" customHeight="1"/>
  </sheetData>
  <mergeCells count="2">
    <mergeCell ref="B1:E1"/>
    <mergeCell ref="B2:E2"/>
  </mergeCells>
  <pageMargins left="1.062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1"/>
  <sheetViews>
    <sheetView workbookViewId="0">
      <selection activeCell="A2" sqref="A2:C2"/>
    </sheetView>
  </sheetViews>
  <sheetFormatPr defaultColWidth="9" defaultRowHeight="13.5" outlineLevelCol="2"/>
  <cols>
    <col min="1" max="1" width="7.5" customWidth="1"/>
    <col min="2" max="2" width="57.6833333333333" customWidth="1"/>
    <col min="3" max="3" width="23.3916666666667" customWidth="1"/>
  </cols>
  <sheetData>
    <row r="1" ht="47" customHeight="1" spans="1:3">
      <c r="A1" s="189" t="s">
        <v>0</v>
      </c>
      <c r="B1" s="189"/>
      <c r="C1" s="189"/>
    </row>
    <row r="2" ht="28" customHeight="1" spans="1:3">
      <c r="A2" s="437" t="s">
        <v>74</v>
      </c>
      <c r="B2" s="437"/>
      <c r="C2" s="437"/>
    </row>
    <row r="3" ht="6" customHeight="1" spans="1:3">
      <c r="A3" s="437"/>
      <c r="B3" s="437"/>
      <c r="C3" s="437"/>
    </row>
    <row r="4" ht="30" customHeight="1" spans="1:3">
      <c r="A4" s="438" t="s">
        <v>2</v>
      </c>
      <c r="B4" s="438" t="s">
        <v>85</v>
      </c>
      <c r="C4" s="438" t="s">
        <v>86</v>
      </c>
    </row>
    <row r="5" ht="30" customHeight="1" spans="1:3">
      <c r="A5" s="439" t="s">
        <v>69</v>
      </c>
      <c r="B5" s="439" t="s">
        <v>87</v>
      </c>
      <c r="C5" s="438"/>
    </row>
    <row r="6" ht="32" customHeight="1" spans="1:3">
      <c r="A6" s="438">
        <v>1</v>
      </c>
      <c r="B6" s="440" t="s">
        <v>88</v>
      </c>
      <c r="C6" s="438" t="s">
        <v>89</v>
      </c>
    </row>
    <row r="7" ht="30" customHeight="1" spans="1:3">
      <c r="A7" s="439" t="s">
        <v>71</v>
      </c>
      <c r="B7" s="439" t="s">
        <v>90</v>
      </c>
      <c r="C7" s="438"/>
    </row>
    <row r="8" ht="30" customHeight="1" spans="1:3">
      <c r="A8" s="438">
        <v>1</v>
      </c>
      <c r="B8" s="440" t="s">
        <v>91</v>
      </c>
      <c r="C8" s="438" t="s">
        <v>92</v>
      </c>
    </row>
    <row r="9" ht="30" customHeight="1" spans="1:3">
      <c r="A9" s="438">
        <v>2</v>
      </c>
      <c r="B9" s="441" t="s">
        <v>93</v>
      </c>
      <c r="C9" s="438" t="s">
        <v>94</v>
      </c>
    </row>
    <row r="10" ht="30" customHeight="1" spans="1:3">
      <c r="A10" s="438">
        <v>3</v>
      </c>
      <c r="B10" s="441" t="s">
        <v>95</v>
      </c>
      <c r="C10" s="440" t="s">
        <v>96</v>
      </c>
    </row>
    <row r="11" ht="30" customHeight="1" spans="1:3">
      <c r="A11" s="438">
        <v>4</v>
      </c>
      <c r="B11" s="440" t="s">
        <v>97</v>
      </c>
      <c r="C11" s="438" t="s">
        <v>98</v>
      </c>
    </row>
    <row r="12" ht="30" customHeight="1" spans="1:3">
      <c r="A12" s="438">
        <v>5</v>
      </c>
      <c r="B12" s="441" t="s">
        <v>99</v>
      </c>
      <c r="C12" s="438" t="s">
        <v>92</v>
      </c>
    </row>
    <row r="13" ht="30" customHeight="1" spans="1:3">
      <c r="A13" s="438">
        <v>6</v>
      </c>
      <c r="B13" s="441" t="s">
        <v>100</v>
      </c>
      <c r="C13" s="438" t="s">
        <v>101</v>
      </c>
    </row>
    <row r="14" ht="30" customHeight="1" spans="1:3">
      <c r="A14" s="439" t="s">
        <v>73</v>
      </c>
      <c r="B14" s="439" t="s">
        <v>102</v>
      </c>
      <c r="C14" s="438"/>
    </row>
    <row r="15" ht="30" customHeight="1" spans="1:3">
      <c r="A15" s="438">
        <v>1</v>
      </c>
      <c r="B15" s="440" t="s">
        <v>103</v>
      </c>
      <c r="C15" s="438" t="s">
        <v>104</v>
      </c>
    </row>
    <row r="16" ht="30" customHeight="1" spans="1:3">
      <c r="A16" s="438">
        <v>2</v>
      </c>
      <c r="B16" s="441" t="s">
        <v>105</v>
      </c>
      <c r="C16" s="438" t="s">
        <v>106</v>
      </c>
    </row>
    <row r="17" ht="30" customHeight="1" spans="1:3">
      <c r="A17" s="438">
        <v>3</v>
      </c>
      <c r="B17" s="441" t="s">
        <v>107</v>
      </c>
      <c r="C17" s="438" t="s">
        <v>108</v>
      </c>
    </row>
    <row r="18" ht="30" customHeight="1" spans="1:3">
      <c r="A18" s="439" t="s">
        <v>75</v>
      </c>
      <c r="B18" s="439" t="s">
        <v>109</v>
      </c>
      <c r="C18" s="438"/>
    </row>
    <row r="19" ht="30" customHeight="1" spans="1:3">
      <c r="A19" s="438">
        <v>1</v>
      </c>
      <c r="B19" s="441" t="s">
        <v>110</v>
      </c>
      <c r="C19" s="438" t="s">
        <v>111</v>
      </c>
    </row>
    <row r="20" ht="30" customHeight="1" spans="1:3">
      <c r="A20" s="439" t="s">
        <v>77</v>
      </c>
      <c r="B20" s="439" t="s">
        <v>112</v>
      </c>
      <c r="C20" s="438"/>
    </row>
    <row r="21" ht="30" customHeight="1" spans="1:3">
      <c r="A21" s="438">
        <v>1</v>
      </c>
      <c r="B21" s="441" t="s">
        <v>113</v>
      </c>
      <c r="C21" s="438" t="s">
        <v>106</v>
      </c>
    </row>
    <row r="22" ht="14" customHeight="1"/>
    <row r="23" ht="30" customHeight="1" spans="2:3">
      <c r="B23" s="442" t="s">
        <v>114</v>
      </c>
      <c r="C23" s="442"/>
    </row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</sheetData>
  <mergeCells count="3">
    <mergeCell ref="A1:C1"/>
    <mergeCell ref="A2:C2"/>
    <mergeCell ref="B23:C23"/>
  </mergeCells>
  <pageMargins left="0.75" right="0.629861111111111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68"/>
  <sheetViews>
    <sheetView topLeftCell="A34" workbookViewId="0">
      <selection activeCell="D41" sqref="D41:M41"/>
    </sheetView>
  </sheetViews>
  <sheetFormatPr defaultColWidth="9" defaultRowHeight="11.25"/>
  <cols>
    <col min="1" max="1" width="1.125" style="124" customWidth="1"/>
    <col min="2" max="2" width="7.125" style="124" customWidth="1"/>
    <col min="3" max="3" width="14.375" style="124" customWidth="1"/>
    <col min="4" max="4" width="7.75" style="124" customWidth="1"/>
    <col min="5" max="5" width="13.5" style="124" customWidth="1"/>
    <col min="6" max="6" width="8.625" style="124" customWidth="1"/>
    <col min="7" max="7" width="9.75" style="124" customWidth="1"/>
    <col min="8" max="11" width="8.625" style="124" customWidth="1"/>
    <col min="12" max="12" width="8.625" style="384" customWidth="1"/>
    <col min="13" max="13" width="7.875" style="384" customWidth="1"/>
    <col min="14" max="14" width="0.875" style="124" customWidth="1"/>
    <col min="15" max="15" width="9" style="124"/>
    <col min="16" max="16" width="5.125" style="124" customWidth="1"/>
    <col min="17" max="16384" width="9" style="124"/>
  </cols>
  <sheetData>
    <row r="1" ht="6" customHeight="1"/>
    <row r="2" s="156" customFormat="1" ht="44" customHeight="1" spans="2:13">
      <c r="B2" s="318" t="s">
        <v>115</v>
      </c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</row>
    <row r="3" s="156" customFormat="1" ht="21" customHeight="1" spans="2:13">
      <c r="B3" s="385" t="s">
        <v>116</v>
      </c>
      <c r="C3" s="386" t="s">
        <v>117</v>
      </c>
      <c r="D3" s="386" t="s">
        <v>118</v>
      </c>
      <c r="E3" s="386" t="s">
        <v>119</v>
      </c>
      <c r="F3" s="386" t="s">
        <v>120</v>
      </c>
      <c r="G3" s="386" t="s">
        <v>121</v>
      </c>
      <c r="H3" s="387" t="s">
        <v>122</v>
      </c>
      <c r="I3" s="412"/>
      <c r="J3" s="412"/>
      <c r="K3" s="412"/>
      <c r="L3" s="412"/>
      <c r="M3" s="413" t="s">
        <v>123</v>
      </c>
    </row>
    <row r="4" s="156" customFormat="1" ht="16" customHeight="1" spans="2:13">
      <c r="B4" s="388"/>
      <c r="C4" s="389"/>
      <c r="D4" s="389"/>
      <c r="E4" s="389"/>
      <c r="F4" s="389"/>
      <c r="G4" s="390"/>
      <c r="H4" s="391" t="s">
        <v>124</v>
      </c>
      <c r="I4" s="391" t="s">
        <v>125</v>
      </c>
      <c r="J4" s="391" t="s">
        <v>126</v>
      </c>
      <c r="K4" s="393" t="s">
        <v>127</v>
      </c>
      <c r="L4" s="414"/>
      <c r="M4" s="415"/>
    </row>
    <row r="5" s="156" customFormat="1" ht="28" customHeight="1" spans="2:13">
      <c r="B5" s="392"/>
      <c r="C5" s="391"/>
      <c r="D5" s="391"/>
      <c r="E5" s="391"/>
      <c r="F5" s="391"/>
      <c r="G5" s="393"/>
      <c r="H5" s="391"/>
      <c r="I5" s="391"/>
      <c r="J5" s="391"/>
      <c r="K5" s="391" t="s">
        <v>128</v>
      </c>
      <c r="L5" s="391" t="s">
        <v>129</v>
      </c>
      <c r="M5" s="416"/>
    </row>
    <row r="6" s="156" customFormat="1" ht="30" customHeight="1" spans="2:13">
      <c r="B6" s="394" t="s">
        <v>69</v>
      </c>
      <c r="C6" s="395" t="s">
        <v>130</v>
      </c>
      <c r="D6" s="395"/>
      <c r="E6" s="395"/>
      <c r="F6" s="395"/>
      <c r="G6" s="395"/>
      <c r="H6" s="395"/>
      <c r="I6" s="395"/>
      <c r="J6" s="395"/>
      <c r="K6" s="395"/>
      <c r="L6" s="417"/>
      <c r="M6" s="418"/>
    </row>
    <row r="7" s="156" customFormat="1" ht="30" customHeight="1" spans="2:17">
      <c r="B7" s="396" t="s">
        <v>131</v>
      </c>
      <c r="C7" s="397" t="s">
        <v>132</v>
      </c>
      <c r="D7" s="398">
        <f>D27+D38+D39</f>
        <v>8399</v>
      </c>
      <c r="E7" s="398"/>
      <c r="F7" s="398"/>
      <c r="G7" s="398"/>
      <c r="H7" s="399" t="s">
        <v>133</v>
      </c>
      <c r="I7" s="398">
        <f>I38+I39</f>
        <v>208</v>
      </c>
      <c r="J7" s="398">
        <f>J27+J38</f>
        <v>83</v>
      </c>
      <c r="K7" s="398">
        <f>K27+K38</f>
        <v>54</v>
      </c>
      <c r="L7" s="398">
        <f>L27+L38</f>
        <v>263</v>
      </c>
      <c r="M7" s="419">
        <v>28</v>
      </c>
      <c r="Q7" s="156">
        <f>SUM(K7:L7)</f>
        <v>317</v>
      </c>
    </row>
    <row r="8" s="156" customFormat="1" ht="22" customHeight="1" spans="2:13">
      <c r="B8" s="182">
        <v>1</v>
      </c>
      <c r="C8" s="183" t="s">
        <v>134</v>
      </c>
      <c r="D8" s="183">
        <v>79</v>
      </c>
      <c r="E8" s="183" t="s">
        <v>135</v>
      </c>
      <c r="F8" s="183" t="s">
        <v>136</v>
      </c>
      <c r="G8" s="183" t="s">
        <v>137</v>
      </c>
      <c r="H8" s="183"/>
      <c r="I8" s="183"/>
      <c r="J8" s="305">
        <v>1</v>
      </c>
      <c r="K8" s="305">
        <v>2</v>
      </c>
      <c r="L8" s="305">
        <v>3</v>
      </c>
      <c r="M8" s="184">
        <v>1</v>
      </c>
    </row>
    <row r="9" s="156" customFormat="1" ht="22" customHeight="1" spans="2:13">
      <c r="B9" s="182">
        <v>2</v>
      </c>
      <c r="C9" s="183" t="s">
        <v>138</v>
      </c>
      <c r="D9" s="183">
        <v>307</v>
      </c>
      <c r="E9" s="183" t="s">
        <v>135</v>
      </c>
      <c r="F9" s="183" t="s">
        <v>136</v>
      </c>
      <c r="G9" s="183" t="s">
        <v>137</v>
      </c>
      <c r="H9" s="183"/>
      <c r="I9" s="183"/>
      <c r="J9" s="305">
        <v>3</v>
      </c>
      <c r="K9" s="305">
        <v>2</v>
      </c>
      <c r="L9" s="305">
        <v>10</v>
      </c>
      <c r="M9" s="184">
        <v>1</v>
      </c>
    </row>
    <row r="10" s="156" customFormat="1" ht="22" customHeight="1" spans="2:13">
      <c r="B10" s="182">
        <v>3</v>
      </c>
      <c r="C10" s="183" t="s">
        <v>139</v>
      </c>
      <c r="D10" s="183">
        <v>146</v>
      </c>
      <c r="E10" s="183" t="s">
        <v>135</v>
      </c>
      <c r="F10" s="183" t="s">
        <v>136</v>
      </c>
      <c r="G10" s="183" t="s">
        <v>137</v>
      </c>
      <c r="H10" s="183"/>
      <c r="I10" s="183"/>
      <c r="J10" s="305">
        <v>2</v>
      </c>
      <c r="K10" s="305">
        <v>2</v>
      </c>
      <c r="L10" s="305">
        <v>5</v>
      </c>
      <c r="M10" s="184">
        <v>1</v>
      </c>
    </row>
    <row r="11" s="156" customFormat="1" ht="22" customHeight="1" spans="2:13">
      <c r="B11" s="182">
        <v>4</v>
      </c>
      <c r="C11" s="183" t="s">
        <v>140</v>
      </c>
      <c r="D11" s="183">
        <v>188</v>
      </c>
      <c r="E11" s="183" t="s">
        <v>135</v>
      </c>
      <c r="F11" s="183" t="s">
        <v>141</v>
      </c>
      <c r="G11" s="183" t="s">
        <v>137</v>
      </c>
      <c r="H11" s="183"/>
      <c r="I11" s="183"/>
      <c r="J11" s="305">
        <v>2</v>
      </c>
      <c r="K11" s="305">
        <v>2</v>
      </c>
      <c r="L11" s="305">
        <v>7</v>
      </c>
      <c r="M11" s="184">
        <v>1</v>
      </c>
    </row>
    <row r="12" s="156" customFormat="1" ht="22" customHeight="1" spans="2:13">
      <c r="B12" s="182">
        <v>5</v>
      </c>
      <c r="C12" s="183" t="s">
        <v>142</v>
      </c>
      <c r="D12" s="183">
        <v>356</v>
      </c>
      <c r="E12" s="183" t="s">
        <v>135</v>
      </c>
      <c r="F12" s="183" t="s">
        <v>141</v>
      </c>
      <c r="G12" s="183" t="s">
        <v>137</v>
      </c>
      <c r="H12" s="183"/>
      <c r="I12" s="183"/>
      <c r="J12" s="305">
        <v>4</v>
      </c>
      <c r="K12" s="305">
        <v>2</v>
      </c>
      <c r="L12" s="305">
        <v>12</v>
      </c>
      <c r="M12" s="184">
        <v>1</v>
      </c>
    </row>
    <row r="13" s="156" customFormat="1" ht="22" customHeight="1" spans="2:13">
      <c r="B13" s="182">
        <v>6</v>
      </c>
      <c r="C13" s="183" t="s">
        <v>143</v>
      </c>
      <c r="D13" s="183">
        <v>318</v>
      </c>
      <c r="E13" s="183" t="s">
        <v>135</v>
      </c>
      <c r="F13" s="183" t="s">
        <v>141</v>
      </c>
      <c r="G13" s="183" t="s">
        <v>137</v>
      </c>
      <c r="H13" s="183"/>
      <c r="I13" s="183"/>
      <c r="J13" s="305">
        <v>3</v>
      </c>
      <c r="K13" s="305">
        <v>2</v>
      </c>
      <c r="L13" s="305">
        <v>10</v>
      </c>
      <c r="M13" s="184">
        <v>1</v>
      </c>
    </row>
    <row r="14" s="156" customFormat="1" ht="22" customHeight="1" spans="2:13">
      <c r="B14" s="182">
        <v>7</v>
      </c>
      <c r="C14" s="183" t="s">
        <v>144</v>
      </c>
      <c r="D14" s="183">
        <v>146</v>
      </c>
      <c r="E14" s="183" t="s">
        <v>135</v>
      </c>
      <c r="F14" s="183" t="s">
        <v>136</v>
      </c>
      <c r="G14" s="183" t="s">
        <v>145</v>
      </c>
      <c r="H14" s="183"/>
      <c r="I14" s="183"/>
      <c r="J14" s="305">
        <v>2</v>
      </c>
      <c r="K14" s="305">
        <v>2</v>
      </c>
      <c r="L14" s="305">
        <v>5</v>
      </c>
      <c r="M14" s="184">
        <v>1</v>
      </c>
    </row>
    <row r="15" s="156" customFormat="1" ht="22" customHeight="1" spans="2:13">
      <c r="B15" s="182">
        <v>8</v>
      </c>
      <c r="C15" s="183" t="s">
        <v>146</v>
      </c>
      <c r="D15" s="183">
        <v>170</v>
      </c>
      <c r="E15" s="183" t="s">
        <v>135</v>
      </c>
      <c r="F15" s="183" t="s">
        <v>136</v>
      </c>
      <c r="G15" s="183" t="s">
        <v>145</v>
      </c>
      <c r="H15" s="183"/>
      <c r="I15" s="183"/>
      <c r="J15" s="305">
        <v>2</v>
      </c>
      <c r="K15" s="305">
        <v>2</v>
      </c>
      <c r="L15" s="305">
        <v>6</v>
      </c>
      <c r="M15" s="184">
        <v>1</v>
      </c>
    </row>
    <row r="16" s="156" customFormat="1" ht="22" customHeight="1" spans="2:13">
      <c r="B16" s="182">
        <v>9</v>
      </c>
      <c r="C16" s="183" t="s">
        <v>147</v>
      </c>
      <c r="D16" s="183">
        <v>806</v>
      </c>
      <c r="E16" s="183" t="s">
        <v>135</v>
      </c>
      <c r="F16" s="183" t="s">
        <v>136</v>
      </c>
      <c r="G16" s="183" t="s">
        <v>145</v>
      </c>
      <c r="H16" s="400" t="s">
        <v>148</v>
      </c>
      <c r="I16" s="183"/>
      <c r="J16" s="305">
        <v>8</v>
      </c>
      <c r="K16" s="305">
        <v>2</v>
      </c>
      <c r="L16" s="305">
        <v>27</v>
      </c>
      <c r="M16" s="184">
        <v>1</v>
      </c>
    </row>
    <row r="17" s="156" customFormat="1" ht="22" customHeight="1" spans="2:13">
      <c r="B17" s="182">
        <v>10</v>
      </c>
      <c r="C17" s="183" t="s">
        <v>149</v>
      </c>
      <c r="D17" s="183">
        <v>305</v>
      </c>
      <c r="E17" s="183" t="s">
        <v>135</v>
      </c>
      <c r="F17" s="183" t="s">
        <v>136</v>
      </c>
      <c r="G17" s="183" t="s">
        <v>150</v>
      </c>
      <c r="H17" s="183"/>
      <c r="I17" s="183"/>
      <c r="J17" s="305">
        <v>3</v>
      </c>
      <c r="K17" s="305">
        <v>2</v>
      </c>
      <c r="L17" s="305">
        <v>10</v>
      </c>
      <c r="M17" s="184">
        <v>1</v>
      </c>
    </row>
    <row r="18" s="156" customFormat="1" ht="22" customHeight="1" spans="2:13">
      <c r="B18" s="182">
        <v>11</v>
      </c>
      <c r="C18" s="183" t="s">
        <v>151</v>
      </c>
      <c r="D18" s="183">
        <v>203</v>
      </c>
      <c r="E18" s="183" t="s">
        <v>135</v>
      </c>
      <c r="F18" s="183" t="s">
        <v>136</v>
      </c>
      <c r="G18" s="183" t="s">
        <v>150</v>
      </c>
      <c r="H18" s="183"/>
      <c r="I18" s="183"/>
      <c r="J18" s="305">
        <v>2</v>
      </c>
      <c r="K18" s="305">
        <v>2</v>
      </c>
      <c r="L18" s="305">
        <v>7</v>
      </c>
      <c r="M18" s="184">
        <v>1</v>
      </c>
    </row>
    <row r="19" s="156" customFormat="1" ht="22" customHeight="1" spans="2:13">
      <c r="B19" s="182">
        <v>12</v>
      </c>
      <c r="C19" s="183" t="s">
        <v>152</v>
      </c>
      <c r="D19" s="183">
        <v>186</v>
      </c>
      <c r="E19" s="183" t="s">
        <v>135</v>
      </c>
      <c r="F19" s="183" t="s">
        <v>141</v>
      </c>
      <c r="G19" s="183" t="s">
        <v>153</v>
      </c>
      <c r="H19" s="183"/>
      <c r="I19" s="183"/>
      <c r="J19" s="305">
        <v>2</v>
      </c>
      <c r="K19" s="305">
        <v>2</v>
      </c>
      <c r="L19" s="305">
        <v>6</v>
      </c>
      <c r="M19" s="184">
        <v>1</v>
      </c>
    </row>
    <row r="20" s="156" customFormat="1" ht="22" customHeight="1" spans="2:13">
      <c r="B20" s="182">
        <v>13</v>
      </c>
      <c r="C20" s="183" t="s">
        <v>154</v>
      </c>
      <c r="D20" s="183">
        <v>193</v>
      </c>
      <c r="E20" s="183" t="s">
        <v>135</v>
      </c>
      <c r="F20" s="183" t="s">
        <v>141</v>
      </c>
      <c r="G20" s="183" t="s">
        <v>153</v>
      </c>
      <c r="H20" s="183"/>
      <c r="I20" s="183"/>
      <c r="J20" s="305">
        <v>2</v>
      </c>
      <c r="K20" s="305">
        <v>2</v>
      </c>
      <c r="L20" s="305">
        <v>6</v>
      </c>
      <c r="M20" s="184">
        <v>1</v>
      </c>
    </row>
    <row r="21" s="156" customFormat="1" ht="22" customHeight="1" spans="2:13">
      <c r="B21" s="182">
        <v>14</v>
      </c>
      <c r="C21" s="183" t="s">
        <v>155</v>
      </c>
      <c r="D21" s="183">
        <v>162</v>
      </c>
      <c r="E21" s="183" t="s">
        <v>135</v>
      </c>
      <c r="F21" s="183" t="s">
        <v>141</v>
      </c>
      <c r="G21" s="183" t="s">
        <v>153</v>
      </c>
      <c r="H21" s="183"/>
      <c r="I21" s="183"/>
      <c r="J21" s="305">
        <v>2</v>
      </c>
      <c r="K21" s="305">
        <v>2</v>
      </c>
      <c r="L21" s="305">
        <v>5</v>
      </c>
      <c r="M21" s="184">
        <v>1</v>
      </c>
    </row>
    <row r="22" s="156" customFormat="1" ht="22" customHeight="1" spans="2:13">
      <c r="B22" s="182">
        <v>15</v>
      </c>
      <c r="C22" s="183" t="s">
        <v>156</v>
      </c>
      <c r="D22" s="183">
        <v>113</v>
      </c>
      <c r="E22" s="183" t="s">
        <v>135</v>
      </c>
      <c r="F22" s="183" t="s">
        <v>141</v>
      </c>
      <c r="G22" s="183" t="s">
        <v>153</v>
      </c>
      <c r="H22" s="183"/>
      <c r="I22" s="183"/>
      <c r="J22" s="305">
        <v>1</v>
      </c>
      <c r="K22" s="305">
        <v>2</v>
      </c>
      <c r="L22" s="305">
        <v>4</v>
      </c>
      <c r="M22" s="184">
        <v>1</v>
      </c>
    </row>
    <row r="23" s="156" customFormat="1" ht="22" customHeight="1" spans="2:13">
      <c r="B23" s="182">
        <v>16</v>
      </c>
      <c r="C23" s="183" t="s">
        <v>157</v>
      </c>
      <c r="D23" s="183">
        <v>349</v>
      </c>
      <c r="E23" s="183" t="s">
        <v>135</v>
      </c>
      <c r="F23" s="183" t="s">
        <v>141</v>
      </c>
      <c r="G23" s="183" t="s">
        <v>153</v>
      </c>
      <c r="H23" s="183"/>
      <c r="I23" s="183"/>
      <c r="J23" s="305">
        <v>4</v>
      </c>
      <c r="K23" s="305">
        <v>2</v>
      </c>
      <c r="L23" s="305">
        <v>12</v>
      </c>
      <c r="M23" s="184">
        <v>1</v>
      </c>
    </row>
    <row r="24" s="156" customFormat="1" ht="22" customHeight="1" spans="2:13">
      <c r="B24" s="182">
        <v>17</v>
      </c>
      <c r="C24" s="183" t="s">
        <v>158</v>
      </c>
      <c r="D24" s="183">
        <v>66</v>
      </c>
      <c r="E24" s="183" t="s">
        <v>135</v>
      </c>
      <c r="F24" s="183" t="s">
        <v>141</v>
      </c>
      <c r="G24" s="183" t="s">
        <v>153</v>
      </c>
      <c r="H24" s="183"/>
      <c r="I24" s="183"/>
      <c r="J24" s="305">
        <v>1</v>
      </c>
      <c r="K24" s="305">
        <v>2</v>
      </c>
      <c r="L24" s="305">
        <v>3</v>
      </c>
      <c r="M24" s="184">
        <v>1</v>
      </c>
    </row>
    <row r="25" s="156" customFormat="1" ht="22" customHeight="1" spans="2:17">
      <c r="B25" s="182">
        <v>18</v>
      </c>
      <c r="C25" s="183" t="s">
        <v>159</v>
      </c>
      <c r="D25" s="183">
        <v>168</v>
      </c>
      <c r="E25" s="183" t="s">
        <v>135</v>
      </c>
      <c r="F25" s="183" t="s">
        <v>141</v>
      </c>
      <c r="G25" s="183" t="s">
        <v>153</v>
      </c>
      <c r="H25" s="183"/>
      <c r="I25" s="183"/>
      <c r="J25" s="305">
        <v>2</v>
      </c>
      <c r="K25" s="305">
        <v>2</v>
      </c>
      <c r="L25" s="305">
        <v>6</v>
      </c>
      <c r="M25" s="184">
        <v>1</v>
      </c>
      <c r="Q25" s="432">
        <v>454</v>
      </c>
    </row>
    <row r="26" s="156" customFormat="1" ht="22" customHeight="1" spans="2:17">
      <c r="B26" s="182">
        <v>19</v>
      </c>
      <c r="C26" s="183" t="s">
        <v>160</v>
      </c>
      <c r="D26" s="183">
        <v>470</v>
      </c>
      <c r="E26" s="183" t="s">
        <v>135</v>
      </c>
      <c r="F26" s="183" t="s">
        <v>141</v>
      </c>
      <c r="G26" s="183" t="s">
        <v>153</v>
      </c>
      <c r="H26" s="183"/>
      <c r="I26" s="183"/>
      <c r="J26" s="305">
        <v>5</v>
      </c>
      <c r="K26" s="305">
        <v>2</v>
      </c>
      <c r="L26" s="305">
        <v>16</v>
      </c>
      <c r="M26" s="184">
        <v>1</v>
      </c>
      <c r="Q26" s="432">
        <v>119</v>
      </c>
    </row>
    <row r="27" s="156" customFormat="1" ht="25" customHeight="1" spans="2:17">
      <c r="B27" s="182"/>
      <c r="C27" s="183" t="s">
        <v>161</v>
      </c>
      <c r="D27" s="401">
        <f>SUM(D8:D26)</f>
        <v>4731</v>
      </c>
      <c r="E27" s="183"/>
      <c r="F27" s="183"/>
      <c r="G27" s="183"/>
      <c r="H27" s="183"/>
      <c r="I27" s="183"/>
      <c r="J27" s="401">
        <f>SUM(J8:J26)</f>
        <v>51</v>
      </c>
      <c r="K27" s="401">
        <f>SUM(K8:K26)</f>
        <v>38</v>
      </c>
      <c r="L27" s="401">
        <f>SUM(L8:L26)</f>
        <v>160</v>
      </c>
      <c r="M27" s="184"/>
      <c r="Q27" s="156">
        <f>D27</f>
        <v>4731</v>
      </c>
    </row>
    <row r="28" s="156" customFormat="1" ht="24" customHeight="1" spans="2:17">
      <c r="B28" s="182">
        <v>20</v>
      </c>
      <c r="C28" s="183" t="s">
        <v>162</v>
      </c>
      <c r="D28" s="183">
        <v>448</v>
      </c>
      <c r="E28" s="183" t="s">
        <v>163</v>
      </c>
      <c r="F28" s="183" t="s">
        <v>136</v>
      </c>
      <c r="G28" s="183" t="s">
        <v>145</v>
      </c>
      <c r="H28" s="183" t="s">
        <v>164</v>
      </c>
      <c r="I28" s="183">
        <v>9</v>
      </c>
      <c r="J28" s="305">
        <v>5</v>
      </c>
      <c r="K28" s="305">
        <v>2</v>
      </c>
      <c r="L28" s="305">
        <v>15</v>
      </c>
      <c r="M28" s="184">
        <v>1</v>
      </c>
      <c r="Q28" s="156">
        <f>SUM(Q25:Q27)</f>
        <v>5304</v>
      </c>
    </row>
    <row r="29" s="156" customFormat="1" ht="24" customHeight="1" spans="2:13">
      <c r="B29" s="182">
        <v>21</v>
      </c>
      <c r="C29" s="183" t="s">
        <v>165</v>
      </c>
      <c r="D29" s="402">
        <v>748</v>
      </c>
      <c r="E29" s="183" t="s">
        <v>163</v>
      </c>
      <c r="F29" s="402" t="s">
        <v>136</v>
      </c>
      <c r="G29" s="402" t="s">
        <v>145</v>
      </c>
      <c r="H29" s="402"/>
      <c r="I29" s="402">
        <v>15</v>
      </c>
      <c r="J29" s="402">
        <v>7</v>
      </c>
      <c r="K29" s="420">
        <v>2</v>
      </c>
      <c r="L29" s="420">
        <v>25</v>
      </c>
      <c r="M29" s="421">
        <v>1</v>
      </c>
    </row>
    <row r="30" s="156" customFormat="1" ht="24" customHeight="1" spans="2:13">
      <c r="B30" s="182">
        <v>22</v>
      </c>
      <c r="C30" s="183" t="s">
        <v>166</v>
      </c>
      <c r="D30" s="183">
        <v>138</v>
      </c>
      <c r="E30" s="183" t="s">
        <v>163</v>
      </c>
      <c r="F30" s="183" t="s">
        <v>136</v>
      </c>
      <c r="G30" s="183" t="s">
        <v>150</v>
      </c>
      <c r="H30" s="183"/>
      <c r="I30" s="183">
        <v>3</v>
      </c>
      <c r="J30" s="305">
        <v>1</v>
      </c>
      <c r="K30" s="305">
        <v>2</v>
      </c>
      <c r="L30" s="305">
        <v>5</v>
      </c>
      <c r="M30" s="184">
        <v>1</v>
      </c>
    </row>
    <row r="31" s="156" customFormat="1" ht="24" customHeight="1" spans="2:13">
      <c r="B31" s="182">
        <v>23</v>
      </c>
      <c r="C31" s="183" t="s">
        <v>167</v>
      </c>
      <c r="D31" s="183">
        <v>428</v>
      </c>
      <c r="E31" s="183" t="s">
        <v>163</v>
      </c>
      <c r="F31" s="183" t="s">
        <v>136</v>
      </c>
      <c r="G31" s="183" t="s">
        <v>150</v>
      </c>
      <c r="H31" s="183"/>
      <c r="I31" s="183">
        <v>9</v>
      </c>
      <c r="J31" s="305">
        <v>4</v>
      </c>
      <c r="K31" s="305">
        <v>2</v>
      </c>
      <c r="L31" s="305">
        <v>14</v>
      </c>
      <c r="M31" s="184">
        <v>1</v>
      </c>
    </row>
    <row r="32" s="156" customFormat="1" ht="24" customHeight="1" spans="2:13">
      <c r="B32" s="182">
        <v>24</v>
      </c>
      <c r="C32" s="183" t="s">
        <v>168</v>
      </c>
      <c r="D32" s="183">
        <v>268</v>
      </c>
      <c r="E32" s="183" t="s">
        <v>163</v>
      </c>
      <c r="F32" s="183" t="s">
        <v>141</v>
      </c>
      <c r="G32" s="183" t="s">
        <v>153</v>
      </c>
      <c r="H32" s="400"/>
      <c r="I32" s="183">
        <v>5</v>
      </c>
      <c r="J32" s="183">
        <v>3</v>
      </c>
      <c r="K32" s="305">
        <v>2</v>
      </c>
      <c r="L32" s="305">
        <v>9</v>
      </c>
      <c r="M32" s="422">
        <v>1</v>
      </c>
    </row>
    <row r="33" s="156" customFormat="1" ht="24" customHeight="1" spans="2:13">
      <c r="B33" s="182">
        <v>25</v>
      </c>
      <c r="C33" s="183" t="s">
        <v>169</v>
      </c>
      <c r="D33" s="183">
        <v>435</v>
      </c>
      <c r="E33" s="183" t="s">
        <v>163</v>
      </c>
      <c r="F33" s="183" t="s">
        <v>141</v>
      </c>
      <c r="G33" s="183" t="s">
        <v>153</v>
      </c>
      <c r="H33" s="400"/>
      <c r="I33" s="183">
        <v>9</v>
      </c>
      <c r="J33" s="183">
        <v>4</v>
      </c>
      <c r="K33" s="305">
        <v>2</v>
      </c>
      <c r="L33" s="305">
        <v>15</v>
      </c>
      <c r="M33" s="422">
        <v>1</v>
      </c>
    </row>
    <row r="34" s="156" customFormat="1" ht="24" customHeight="1" spans="2:13">
      <c r="B34" s="182">
        <v>26</v>
      </c>
      <c r="C34" s="183" t="s">
        <v>170</v>
      </c>
      <c r="D34" s="233">
        <v>454</v>
      </c>
      <c r="E34" s="183" t="s">
        <v>163</v>
      </c>
      <c r="F34" s="183" t="s">
        <v>141</v>
      </c>
      <c r="G34" s="183" t="s">
        <v>171</v>
      </c>
      <c r="H34" s="400"/>
      <c r="I34" s="233">
        <v>9</v>
      </c>
      <c r="J34" s="233"/>
      <c r="K34" s="306">
        <v>2</v>
      </c>
      <c r="L34" s="306">
        <v>15</v>
      </c>
      <c r="M34" s="423">
        <v>1</v>
      </c>
    </row>
    <row r="35" s="156" customFormat="1" ht="24" customHeight="1" spans="2:13">
      <c r="B35" s="182">
        <v>27</v>
      </c>
      <c r="C35" s="183" t="s">
        <v>172</v>
      </c>
      <c r="D35" s="233">
        <v>119</v>
      </c>
      <c r="E35" s="183" t="s">
        <v>163</v>
      </c>
      <c r="F35" s="183" t="s">
        <v>141</v>
      </c>
      <c r="G35" s="183" t="s">
        <v>171</v>
      </c>
      <c r="H35" s="400"/>
      <c r="I35" s="233">
        <v>3</v>
      </c>
      <c r="J35" s="233"/>
      <c r="K35" s="306">
        <v>2</v>
      </c>
      <c r="L35" s="306">
        <v>5</v>
      </c>
      <c r="M35" s="423">
        <v>1</v>
      </c>
    </row>
    <row r="36" s="156" customFormat="1" ht="24" customHeight="1" spans="2:13">
      <c r="B36" s="403"/>
      <c r="C36" s="233" t="s">
        <v>173</v>
      </c>
      <c r="D36" s="233"/>
      <c r="E36" s="183" t="s">
        <v>163</v>
      </c>
      <c r="F36" s="233"/>
      <c r="G36" s="183" t="s">
        <v>137</v>
      </c>
      <c r="H36" s="404"/>
      <c r="I36" s="233"/>
      <c r="J36" s="233">
        <v>8</v>
      </c>
      <c r="K36" s="306"/>
      <c r="L36" s="306"/>
      <c r="M36" s="423"/>
    </row>
    <row r="37" s="156" customFormat="1" ht="24" customHeight="1" spans="2:13">
      <c r="B37" s="403"/>
      <c r="C37" s="183" t="s">
        <v>174</v>
      </c>
      <c r="D37" s="233"/>
      <c r="E37" s="183" t="s">
        <v>163</v>
      </c>
      <c r="F37" s="183"/>
      <c r="G37" s="183" t="s">
        <v>150</v>
      </c>
      <c r="H37" s="400"/>
      <c r="I37" s="233">
        <v>140</v>
      </c>
      <c r="J37" s="233"/>
      <c r="K37" s="306"/>
      <c r="L37" s="306"/>
      <c r="M37" s="423"/>
    </row>
    <row r="38" s="156" customFormat="1" ht="25" customHeight="1" spans="2:22">
      <c r="B38" s="405"/>
      <c r="C38" s="401" t="s">
        <v>161</v>
      </c>
      <c r="D38" s="401">
        <f>SUM(D28:D36)</f>
        <v>3038</v>
      </c>
      <c r="E38" s="233"/>
      <c r="F38" s="401"/>
      <c r="G38" s="401"/>
      <c r="H38" s="401"/>
      <c r="I38" s="401">
        <f>SUM(I28:I37)</f>
        <v>202</v>
      </c>
      <c r="J38" s="401">
        <f>SUM(J28:J36)</f>
        <v>32</v>
      </c>
      <c r="K38" s="401">
        <f>SUM(K28:K36)</f>
        <v>16</v>
      </c>
      <c r="L38" s="401">
        <f>SUM(L28:L36)</f>
        <v>103</v>
      </c>
      <c r="M38" s="424"/>
      <c r="R38" s="393" t="s">
        <v>127</v>
      </c>
      <c r="S38" s="414"/>
      <c r="T38" s="391"/>
      <c r="U38" s="156" t="s">
        <v>175</v>
      </c>
      <c r="V38" s="156" t="s">
        <v>176</v>
      </c>
    </row>
    <row r="39" s="156" customFormat="1" ht="25" customHeight="1" spans="2:20">
      <c r="B39" s="391">
        <v>28</v>
      </c>
      <c r="C39" s="391" t="s">
        <v>177</v>
      </c>
      <c r="D39" s="401">
        <v>630</v>
      </c>
      <c r="E39" s="401" t="s">
        <v>178</v>
      </c>
      <c r="F39" s="401" t="s">
        <v>136</v>
      </c>
      <c r="G39" s="401" t="s">
        <v>145</v>
      </c>
      <c r="H39" s="401"/>
      <c r="I39" s="401">
        <v>6</v>
      </c>
      <c r="J39" s="401"/>
      <c r="K39" s="401"/>
      <c r="L39" s="401"/>
      <c r="M39" s="401">
        <v>1</v>
      </c>
      <c r="R39" s="366"/>
      <c r="S39" s="366"/>
      <c r="T39" s="366"/>
    </row>
    <row r="40" s="156" customFormat="1" ht="50" customHeight="1" spans="2:17">
      <c r="B40" s="406" t="s">
        <v>179</v>
      </c>
      <c r="C40" s="407" t="s">
        <v>180</v>
      </c>
      <c r="D40" s="408" t="s">
        <v>181</v>
      </c>
      <c r="E40" s="408"/>
      <c r="F40" s="408"/>
      <c r="G40" s="408"/>
      <c r="H40" s="408"/>
      <c r="I40" s="408"/>
      <c r="J40" s="408"/>
      <c r="K40" s="408"/>
      <c r="L40" s="425"/>
      <c r="M40" s="426"/>
      <c r="Q40" s="202"/>
    </row>
    <row r="41" s="333" customFormat="1" ht="50" customHeight="1" spans="1:19">
      <c r="A41" s="156"/>
      <c r="B41" s="406" t="s">
        <v>182</v>
      </c>
      <c r="C41" s="407" t="s">
        <v>183</v>
      </c>
      <c r="D41" s="408" t="s">
        <v>184</v>
      </c>
      <c r="E41" s="408"/>
      <c r="F41" s="408"/>
      <c r="G41" s="408"/>
      <c r="H41" s="408"/>
      <c r="I41" s="408"/>
      <c r="J41" s="408"/>
      <c r="K41" s="408"/>
      <c r="L41" s="425"/>
      <c r="M41" s="426"/>
      <c r="Q41" s="333">
        <v>785</v>
      </c>
      <c r="R41" s="333">
        <v>400</v>
      </c>
      <c r="S41" s="333">
        <f>SUM(Q41:R41)</f>
        <v>1185</v>
      </c>
    </row>
    <row r="42" ht="22" customHeight="1" spans="1:18">
      <c r="A42" s="156"/>
      <c r="B42" s="409">
        <v>1</v>
      </c>
      <c r="C42" s="183" t="s">
        <v>185</v>
      </c>
      <c r="D42" s="183">
        <v>50</v>
      </c>
      <c r="E42" s="183" t="s">
        <v>186</v>
      </c>
      <c r="F42" s="183" t="s">
        <v>141</v>
      </c>
      <c r="G42" s="183" t="s">
        <v>150</v>
      </c>
      <c r="H42" s="373" t="s">
        <v>187</v>
      </c>
      <c r="I42" s="373"/>
      <c r="J42" s="373"/>
      <c r="K42" s="373"/>
      <c r="L42" s="376"/>
      <c r="M42" s="379"/>
      <c r="Q42" s="156" t="s">
        <v>188</v>
      </c>
      <c r="R42" s="156">
        <v>158</v>
      </c>
    </row>
    <row r="43" ht="22" customHeight="1" spans="1:18">
      <c r="A43" s="156"/>
      <c r="B43" s="409">
        <v>2</v>
      </c>
      <c r="C43" s="183" t="s">
        <v>189</v>
      </c>
      <c r="D43" s="183">
        <v>40</v>
      </c>
      <c r="E43" s="183" t="s">
        <v>186</v>
      </c>
      <c r="F43" s="183" t="s">
        <v>141</v>
      </c>
      <c r="G43" s="183" t="s">
        <v>150</v>
      </c>
      <c r="H43" s="373" t="s">
        <v>190</v>
      </c>
      <c r="I43" s="373"/>
      <c r="J43" s="373"/>
      <c r="K43" s="373"/>
      <c r="L43" s="376"/>
      <c r="M43" s="379"/>
      <c r="Q43" s="156" t="s">
        <v>191</v>
      </c>
      <c r="R43" s="156">
        <v>158</v>
      </c>
    </row>
    <row r="44" s="171" customFormat="1" ht="22" customHeight="1" spans="1:21">
      <c r="A44" s="156"/>
      <c r="B44" s="409">
        <v>3</v>
      </c>
      <c r="C44" s="183" t="s">
        <v>192</v>
      </c>
      <c r="D44" s="183">
        <v>5</v>
      </c>
      <c r="E44" s="183" t="s">
        <v>186</v>
      </c>
      <c r="F44" s="183" t="s">
        <v>141</v>
      </c>
      <c r="G44" s="183" t="s">
        <v>153</v>
      </c>
      <c r="H44" s="373" t="s">
        <v>193</v>
      </c>
      <c r="I44" s="373"/>
      <c r="J44" s="373"/>
      <c r="K44" s="373"/>
      <c r="L44" s="376"/>
      <c r="M44" s="379"/>
      <c r="Q44" s="156" t="s">
        <v>194</v>
      </c>
      <c r="R44" s="156">
        <v>220</v>
      </c>
      <c r="S44" s="171">
        <f>SUM(D42:D43)</f>
        <v>90</v>
      </c>
      <c r="U44" s="171">
        <f>SUM(D42:D45)</f>
        <v>102</v>
      </c>
    </row>
    <row r="45" s="171" customFormat="1" ht="22" customHeight="1" spans="1:18">
      <c r="A45" s="156"/>
      <c r="B45" s="409">
        <v>4</v>
      </c>
      <c r="C45" s="183" t="s">
        <v>195</v>
      </c>
      <c r="D45" s="183">
        <v>7</v>
      </c>
      <c r="E45" s="183" t="s">
        <v>186</v>
      </c>
      <c r="F45" s="183" t="s">
        <v>141</v>
      </c>
      <c r="G45" s="183" t="s">
        <v>171</v>
      </c>
      <c r="H45" s="373" t="s">
        <v>193</v>
      </c>
      <c r="I45" s="373"/>
      <c r="J45" s="373"/>
      <c r="K45" s="373"/>
      <c r="L45" s="376"/>
      <c r="M45" s="379"/>
      <c r="Q45" s="156"/>
      <c r="R45" s="156"/>
    </row>
    <row r="46" ht="22" customHeight="1" spans="1:18">
      <c r="A46" s="156"/>
      <c r="B46" s="409">
        <v>6</v>
      </c>
      <c r="C46" s="183" t="s">
        <v>196</v>
      </c>
      <c r="D46" s="183">
        <v>3500</v>
      </c>
      <c r="E46" s="183"/>
      <c r="F46" s="183"/>
      <c r="G46" s="183" t="s">
        <v>145</v>
      </c>
      <c r="H46" s="373" t="s">
        <v>197</v>
      </c>
      <c r="I46" s="373"/>
      <c r="J46" s="373"/>
      <c r="K46" s="373"/>
      <c r="L46" s="376"/>
      <c r="M46" s="379"/>
      <c r="Q46" s="156" t="s">
        <v>198</v>
      </c>
      <c r="R46" s="156">
        <v>230</v>
      </c>
    </row>
    <row r="47" ht="22" customHeight="1" spans="1:20">
      <c r="A47" s="156"/>
      <c r="B47" s="409">
        <v>7</v>
      </c>
      <c r="C47" s="183" t="s">
        <v>199</v>
      </c>
      <c r="D47" s="183">
        <v>3500</v>
      </c>
      <c r="E47" s="183"/>
      <c r="F47" s="183"/>
      <c r="G47" s="183" t="s">
        <v>150</v>
      </c>
      <c r="H47" s="373" t="s">
        <v>197</v>
      </c>
      <c r="I47" s="373"/>
      <c r="J47" s="373"/>
      <c r="K47" s="373"/>
      <c r="L47" s="376"/>
      <c r="M47" s="379"/>
      <c r="Q47" s="156" t="s">
        <v>200</v>
      </c>
      <c r="R47" s="156">
        <v>230</v>
      </c>
      <c r="T47" s="124">
        <v>690</v>
      </c>
    </row>
    <row r="48" ht="22" customHeight="1" spans="1:18">
      <c r="A48" s="156"/>
      <c r="B48" s="409">
        <v>8</v>
      </c>
      <c r="C48" s="183" t="s">
        <v>201</v>
      </c>
      <c r="D48" s="183">
        <v>4500</v>
      </c>
      <c r="E48" s="183"/>
      <c r="F48" s="183"/>
      <c r="G48" s="183" t="s">
        <v>137</v>
      </c>
      <c r="H48" s="373" t="s">
        <v>197</v>
      </c>
      <c r="I48" s="373"/>
      <c r="J48" s="373"/>
      <c r="K48" s="373"/>
      <c r="L48" s="376"/>
      <c r="M48" s="379"/>
      <c r="Q48" s="156"/>
      <c r="R48" s="156">
        <f>SUM(R42:R47)</f>
        <v>996</v>
      </c>
    </row>
    <row r="49" ht="22" customHeight="1" spans="1:13">
      <c r="A49" s="156"/>
      <c r="B49" s="409">
        <v>9</v>
      </c>
      <c r="C49" s="183" t="s">
        <v>202</v>
      </c>
      <c r="D49" s="183">
        <v>3500</v>
      </c>
      <c r="E49" s="183"/>
      <c r="F49" s="183"/>
      <c r="G49" s="183" t="s">
        <v>153</v>
      </c>
      <c r="H49" s="373" t="s">
        <v>197</v>
      </c>
      <c r="I49" s="373"/>
      <c r="J49" s="373"/>
      <c r="K49" s="373"/>
      <c r="L49" s="376"/>
      <c r="M49" s="379"/>
    </row>
    <row r="50" ht="22" customHeight="1" spans="1:19">
      <c r="A50" s="156"/>
      <c r="B50" s="409">
        <v>10</v>
      </c>
      <c r="C50" s="183" t="s">
        <v>203</v>
      </c>
      <c r="D50" s="183">
        <v>1000</v>
      </c>
      <c r="E50" s="183"/>
      <c r="F50" s="183"/>
      <c r="G50" s="183" t="s">
        <v>171</v>
      </c>
      <c r="H50" s="373" t="s">
        <v>197</v>
      </c>
      <c r="I50" s="373"/>
      <c r="J50" s="373"/>
      <c r="K50" s="373"/>
      <c r="L50" s="376"/>
      <c r="M50" s="379"/>
      <c r="S50" s="124">
        <f>SUM(D46:D50)</f>
        <v>16000</v>
      </c>
    </row>
    <row r="51" ht="22" customHeight="1" spans="1:17">
      <c r="A51" s="156"/>
      <c r="B51" s="406" t="s">
        <v>204</v>
      </c>
      <c r="C51" s="407" t="s">
        <v>205</v>
      </c>
      <c r="D51" s="408" t="s">
        <v>206</v>
      </c>
      <c r="E51" s="408"/>
      <c r="F51" s="408"/>
      <c r="G51" s="408"/>
      <c r="H51" s="408"/>
      <c r="I51" s="408"/>
      <c r="J51" s="408"/>
      <c r="K51" s="408"/>
      <c r="L51" s="425"/>
      <c r="M51" s="426"/>
      <c r="Q51" s="124">
        <f>SUM(D46:D50)</f>
        <v>16000</v>
      </c>
    </row>
    <row r="52" ht="22" customHeight="1" spans="1:13">
      <c r="A52" s="156"/>
      <c r="B52" s="409"/>
      <c r="C52" s="183" t="s">
        <v>207</v>
      </c>
      <c r="D52" s="376" t="s">
        <v>208</v>
      </c>
      <c r="E52" s="377"/>
      <c r="F52" s="377"/>
      <c r="G52" s="377"/>
      <c r="H52" s="377"/>
      <c r="I52" s="377"/>
      <c r="J52" s="377"/>
      <c r="K52" s="377"/>
      <c r="L52" s="377"/>
      <c r="M52" s="378"/>
    </row>
    <row r="53" ht="33" customHeight="1" spans="1:13">
      <c r="A53" s="156"/>
      <c r="B53" s="394" t="s">
        <v>71</v>
      </c>
      <c r="C53" s="410" t="s">
        <v>209</v>
      </c>
      <c r="D53" s="410"/>
      <c r="E53" s="410"/>
      <c r="F53" s="410"/>
      <c r="G53" s="410"/>
      <c r="H53" s="410"/>
      <c r="I53" s="410"/>
      <c r="J53" s="410"/>
      <c r="K53" s="410"/>
      <c r="L53" s="427"/>
      <c r="M53" s="428"/>
    </row>
    <row r="54" ht="22" customHeight="1" spans="1:13">
      <c r="A54" s="156"/>
      <c r="B54" s="409">
        <v>1</v>
      </c>
      <c r="C54" s="391" t="s">
        <v>210</v>
      </c>
      <c r="D54" s="411" t="s">
        <v>211</v>
      </c>
      <c r="E54" s="411"/>
      <c r="F54" s="411"/>
      <c r="G54" s="411"/>
      <c r="H54" s="411"/>
      <c r="I54" s="411"/>
      <c r="J54" s="411"/>
      <c r="K54" s="411"/>
      <c r="L54" s="429"/>
      <c r="M54" s="430"/>
    </row>
    <row r="55" ht="22" customHeight="1" spans="1:13">
      <c r="A55" s="156"/>
      <c r="B55" s="409">
        <v>2</v>
      </c>
      <c r="C55" s="391" t="s">
        <v>212</v>
      </c>
      <c r="D55" s="411" t="s">
        <v>213</v>
      </c>
      <c r="E55" s="411"/>
      <c r="F55" s="411"/>
      <c r="G55" s="411"/>
      <c r="H55" s="411"/>
      <c r="I55" s="411"/>
      <c r="J55" s="411"/>
      <c r="K55" s="411"/>
      <c r="L55" s="429"/>
      <c r="M55" s="430"/>
    </row>
    <row r="56" ht="22" customHeight="1" spans="1:13">
      <c r="A56" s="156"/>
      <c r="B56" s="409">
        <v>3</v>
      </c>
      <c r="C56" s="391" t="s">
        <v>214</v>
      </c>
      <c r="D56" s="411" t="s">
        <v>215</v>
      </c>
      <c r="E56" s="411"/>
      <c r="F56" s="411"/>
      <c r="G56" s="411"/>
      <c r="H56" s="411"/>
      <c r="I56" s="411"/>
      <c r="J56" s="411"/>
      <c r="K56" s="411"/>
      <c r="L56" s="429"/>
      <c r="M56" s="430"/>
    </row>
    <row r="57" ht="22" customHeight="1" spans="1:13">
      <c r="A57" s="156"/>
      <c r="B57" s="409">
        <v>4</v>
      </c>
      <c r="C57" s="391" t="s">
        <v>216</v>
      </c>
      <c r="D57" s="411" t="s">
        <v>217</v>
      </c>
      <c r="E57" s="411"/>
      <c r="F57" s="411"/>
      <c r="G57" s="411"/>
      <c r="H57" s="411"/>
      <c r="I57" s="411"/>
      <c r="J57" s="411"/>
      <c r="K57" s="411"/>
      <c r="L57" s="429"/>
      <c r="M57" s="430"/>
    </row>
    <row r="58" ht="22" customHeight="1" spans="1:13">
      <c r="A58" s="156"/>
      <c r="B58" s="409">
        <v>5</v>
      </c>
      <c r="C58" s="391" t="s">
        <v>218</v>
      </c>
      <c r="D58" s="411" t="s">
        <v>219</v>
      </c>
      <c r="E58" s="411"/>
      <c r="F58" s="411"/>
      <c r="G58" s="411"/>
      <c r="H58" s="411"/>
      <c r="I58" s="411"/>
      <c r="J58" s="411"/>
      <c r="K58" s="411"/>
      <c r="L58" s="429"/>
      <c r="M58" s="430"/>
    </row>
    <row r="59" ht="22" customHeight="1" spans="1:13">
      <c r="A59" s="156"/>
      <c r="B59" s="409">
        <v>6</v>
      </c>
      <c r="C59" s="391" t="s">
        <v>220</v>
      </c>
      <c r="D59" s="411" t="s">
        <v>221</v>
      </c>
      <c r="E59" s="411"/>
      <c r="F59" s="411"/>
      <c r="G59" s="411"/>
      <c r="H59" s="411"/>
      <c r="I59" s="411"/>
      <c r="J59" s="411"/>
      <c r="K59" s="411"/>
      <c r="L59" s="429"/>
      <c r="M59" s="430"/>
    </row>
    <row r="60" ht="24" customHeight="1" spans="1:13">
      <c r="A60" s="156"/>
      <c r="B60" s="394" t="s">
        <v>73</v>
      </c>
      <c r="C60" s="410" t="s">
        <v>222</v>
      </c>
      <c r="D60" s="410"/>
      <c r="E60" s="410"/>
      <c r="F60" s="410"/>
      <c r="G60" s="410"/>
      <c r="H60" s="410"/>
      <c r="I60" s="410"/>
      <c r="J60" s="410"/>
      <c r="K60" s="410"/>
      <c r="L60" s="427"/>
      <c r="M60" s="428"/>
    </row>
    <row r="61" ht="22" customHeight="1" spans="1:13">
      <c r="A61" s="156"/>
      <c r="B61" s="409">
        <v>1</v>
      </c>
      <c r="C61" s="183" t="s">
        <v>223</v>
      </c>
      <c r="D61" s="373" t="s">
        <v>224</v>
      </c>
      <c r="E61" s="373"/>
      <c r="F61" s="373"/>
      <c r="G61" s="373"/>
      <c r="H61" s="373"/>
      <c r="I61" s="373"/>
      <c r="J61" s="373"/>
      <c r="K61" s="373"/>
      <c r="L61" s="376"/>
      <c r="M61" s="379"/>
    </row>
    <row r="62" ht="22" customHeight="1" spans="1:13">
      <c r="A62" s="156"/>
      <c r="B62" s="409">
        <v>2</v>
      </c>
      <c r="C62" s="183" t="s">
        <v>225</v>
      </c>
      <c r="D62" s="373" t="s">
        <v>226</v>
      </c>
      <c r="E62" s="373"/>
      <c r="F62" s="373"/>
      <c r="G62" s="373"/>
      <c r="H62" s="373"/>
      <c r="I62" s="373"/>
      <c r="J62" s="373"/>
      <c r="K62" s="373"/>
      <c r="L62" s="376"/>
      <c r="M62" s="379"/>
    </row>
    <row r="63" ht="22" customHeight="1" spans="1:13">
      <c r="A63" s="156"/>
      <c r="B63" s="409"/>
      <c r="C63" s="391" t="s">
        <v>161</v>
      </c>
      <c r="D63" s="373" t="s">
        <v>227</v>
      </c>
      <c r="E63" s="373"/>
      <c r="F63" s="373"/>
      <c r="G63" s="373"/>
      <c r="H63" s="373"/>
      <c r="I63" s="373"/>
      <c r="J63" s="373"/>
      <c r="K63" s="373"/>
      <c r="L63" s="376"/>
      <c r="M63" s="379"/>
    </row>
    <row r="64" ht="24" customHeight="1" spans="1:16">
      <c r="A64" s="156"/>
      <c r="B64" s="394" t="s">
        <v>75</v>
      </c>
      <c r="C64" s="410" t="s">
        <v>228</v>
      </c>
      <c r="D64" s="410"/>
      <c r="E64" s="410"/>
      <c r="F64" s="410"/>
      <c r="G64" s="410"/>
      <c r="H64" s="410"/>
      <c r="I64" s="410"/>
      <c r="J64" s="410"/>
      <c r="K64" s="410"/>
      <c r="L64" s="427"/>
      <c r="M64" s="428"/>
      <c r="P64" s="431"/>
    </row>
    <row r="65" ht="22" customHeight="1" spans="1:13">
      <c r="A65" s="156"/>
      <c r="B65" s="392"/>
      <c r="C65" s="391" t="s">
        <v>229</v>
      </c>
      <c r="D65" s="411" t="s">
        <v>230</v>
      </c>
      <c r="E65" s="411"/>
      <c r="F65" s="411"/>
      <c r="G65" s="411"/>
      <c r="H65" s="411"/>
      <c r="I65" s="411"/>
      <c r="J65" s="411"/>
      <c r="K65" s="411"/>
      <c r="L65" s="429"/>
      <c r="M65" s="430"/>
    </row>
    <row r="66" ht="31" customHeight="1" spans="1:13">
      <c r="A66" s="156"/>
      <c r="B66" s="394" t="s">
        <v>77</v>
      </c>
      <c r="C66" s="395" t="s">
        <v>231</v>
      </c>
      <c r="D66" s="410" t="s">
        <v>232</v>
      </c>
      <c r="E66" s="410"/>
      <c r="F66" s="410"/>
      <c r="G66" s="410"/>
      <c r="H66" s="410"/>
      <c r="I66" s="410"/>
      <c r="J66" s="410"/>
      <c r="K66" s="410"/>
      <c r="L66" s="427"/>
      <c r="M66" s="428"/>
    </row>
    <row r="67" ht="49" customHeight="1" spans="1:13">
      <c r="A67" s="156"/>
      <c r="B67" s="433" t="s">
        <v>233</v>
      </c>
      <c r="C67" s="434"/>
      <c r="D67" s="434"/>
      <c r="E67" s="434"/>
      <c r="F67" s="434"/>
      <c r="G67" s="434"/>
      <c r="H67" s="434"/>
      <c r="I67" s="434"/>
      <c r="J67" s="434"/>
      <c r="K67" s="434"/>
      <c r="L67" s="435"/>
      <c r="M67" s="436"/>
    </row>
    <row r="68" ht="5" customHeight="1"/>
  </sheetData>
  <mergeCells count="42">
    <mergeCell ref="B2:M2"/>
    <mergeCell ref="H3:L3"/>
    <mergeCell ref="K4:L4"/>
    <mergeCell ref="R38:S38"/>
    <mergeCell ref="D40:M40"/>
    <mergeCell ref="D41:M41"/>
    <mergeCell ref="H42:M42"/>
    <mergeCell ref="H43:M43"/>
    <mergeCell ref="H44:M44"/>
    <mergeCell ref="H45:M45"/>
    <mergeCell ref="H46:M46"/>
    <mergeCell ref="H47:M47"/>
    <mergeCell ref="H48:M48"/>
    <mergeCell ref="H49:M49"/>
    <mergeCell ref="H50:M50"/>
    <mergeCell ref="D51:M51"/>
    <mergeCell ref="D52:M52"/>
    <mergeCell ref="C53:M53"/>
    <mergeCell ref="D54:M54"/>
    <mergeCell ref="D55:M55"/>
    <mergeCell ref="D56:M56"/>
    <mergeCell ref="D57:M57"/>
    <mergeCell ref="D58:M58"/>
    <mergeCell ref="D59:M59"/>
    <mergeCell ref="C60:M60"/>
    <mergeCell ref="D61:M61"/>
    <mergeCell ref="D62:M62"/>
    <mergeCell ref="D63:M63"/>
    <mergeCell ref="C64:M64"/>
    <mergeCell ref="D65:M65"/>
    <mergeCell ref="D66:M66"/>
    <mergeCell ref="B67:M67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M3:M5"/>
  </mergeCells>
  <pageMargins left="1.73194444444444" right="0.751388888888889" top="0.275" bottom="0.236111111111111" header="0.156944444444444" footer="0.156944444444444"/>
  <pageSetup paperSize="8" orientation="portrait" horizontalDpi="600"/>
  <headerFooter>
    <oddFooter>&amp;C&amp;10第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M48" sqref="M48"/>
    </sheetView>
  </sheetViews>
  <sheetFormatPr defaultColWidth="9" defaultRowHeight="11.25" outlineLevelCol="7"/>
  <cols>
    <col min="1" max="1" width="1.125" style="124" customWidth="1"/>
    <col min="2" max="2" width="7.125" style="124" customWidth="1"/>
    <col min="3" max="3" width="16.625" style="124" customWidth="1"/>
    <col min="4" max="4" width="17.5" style="124" customWidth="1"/>
    <col min="5" max="5" width="8.625" style="124" customWidth="1"/>
    <col min="6" max="6" width="10.875" style="124" customWidth="1"/>
    <col min="7" max="7" width="9.75" style="124" customWidth="1"/>
    <col min="8" max="8" width="1.25" style="124" customWidth="1"/>
    <col min="9" max="16384" width="9" style="124"/>
  </cols>
  <sheetData>
    <row r="1" ht="6" customHeight="1"/>
    <row r="2" s="156" customFormat="1" ht="30" customHeight="1" spans="2:7">
      <c r="B2" s="335" t="s">
        <v>234</v>
      </c>
      <c r="C2" s="335"/>
      <c r="D2" s="335"/>
      <c r="E2" s="335"/>
      <c r="F2" s="335"/>
      <c r="G2" s="335"/>
    </row>
    <row r="3" s="156" customFormat="1" ht="27" customHeight="1" spans="2:7">
      <c r="B3" s="179" t="s">
        <v>116</v>
      </c>
      <c r="C3" s="180" t="s">
        <v>235</v>
      </c>
      <c r="D3" s="180" t="s">
        <v>236</v>
      </c>
      <c r="E3" s="180" t="s">
        <v>120</v>
      </c>
      <c r="F3" s="180" t="s">
        <v>237</v>
      </c>
      <c r="G3" s="181" t="s">
        <v>118</v>
      </c>
    </row>
    <row r="4" s="332" customFormat="1" ht="20" customHeight="1" spans="2:7">
      <c r="B4" s="336" t="s">
        <v>69</v>
      </c>
      <c r="C4" s="337" t="s">
        <v>130</v>
      </c>
      <c r="D4" s="337"/>
      <c r="E4" s="337"/>
      <c r="F4" s="337"/>
      <c r="G4" s="338"/>
    </row>
    <row r="5" s="156" customFormat="1" ht="20" customHeight="1" spans="2:7">
      <c r="B5" s="182" t="s">
        <v>131</v>
      </c>
      <c r="C5" s="339" t="s">
        <v>132</v>
      </c>
      <c r="D5" s="340"/>
      <c r="E5" s="340"/>
      <c r="F5" s="341"/>
      <c r="G5" s="184">
        <f>SUM(G6:G33)</f>
        <v>8399</v>
      </c>
    </row>
    <row r="6" s="156" customFormat="1" ht="20" customHeight="1" spans="2:7">
      <c r="B6" s="182">
        <v>1</v>
      </c>
      <c r="C6" s="183" t="s">
        <v>134</v>
      </c>
      <c r="D6" s="372" t="s">
        <v>238</v>
      </c>
      <c r="E6" s="183" t="s">
        <v>136</v>
      </c>
      <c r="F6" s="183" t="s">
        <v>137</v>
      </c>
      <c r="G6" s="184">
        <v>79</v>
      </c>
    </row>
    <row r="7" s="156" customFormat="1" ht="20" customHeight="1" spans="2:7">
      <c r="B7" s="182">
        <v>2</v>
      </c>
      <c r="C7" s="183" t="s">
        <v>138</v>
      </c>
      <c r="D7" s="372" t="s">
        <v>238</v>
      </c>
      <c r="E7" s="183" t="s">
        <v>136</v>
      </c>
      <c r="F7" s="183" t="s">
        <v>137</v>
      </c>
      <c r="G7" s="184">
        <v>307</v>
      </c>
    </row>
    <row r="8" s="156" customFormat="1" ht="20" customHeight="1" spans="2:7">
      <c r="B8" s="182">
        <v>3</v>
      </c>
      <c r="C8" s="183" t="s">
        <v>139</v>
      </c>
      <c r="D8" s="372" t="s">
        <v>238</v>
      </c>
      <c r="E8" s="183" t="s">
        <v>136</v>
      </c>
      <c r="F8" s="183" t="s">
        <v>137</v>
      </c>
      <c r="G8" s="184">
        <v>146</v>
      </c>
    </row>
    <row r="9" s="156" customFormat="1" ht="20" customHeight="1" spans="2:7">
      <c r="B9" s="182">
        <v>4</v>
      </c>
      <c r="C9" s="183" t="s">
        <v>140</v>
      </c>
      <c r="D9" s="372" t="s">
        <v>238</v>
      </c>
      <c r="E9" s="183" t="s">
        <v>141</v>
      </c>
      <c r="F9" s="183" t="s">
        <v>137</v>
      </c>
      <c r="G9" s="184">
        <v>188</v>
      </c>
    </row>
    <row r="10" s="156" customFormat="1" ht="20" customHeight="1" spans="2:7">
      <c r="B10" s="182">
        <v>5</v>
      </c>
      <c r="C10" s="183" t="s">
        <v>142</v>
      </c>
      <c r="D10" s="372" t="s">
        <v>238</v>
      </c>
      <c r="E10" s="183" t="s">
        <v>141</v>
      </c>
      <c r="F10" s="183" t="s">
        <v>137</v>
      </c>
      <c r="G10" s="184">
        <v>356</v>
      </c>
    </row>
    <row r="11" s="156" customFormat="1" ht="20" customHeight="1" spans="2:7">
      <c r="B11" s="182">
        <v>6</v>
      </c>
      <c r="C11" s="183" t="s">
        <v>143</v>
      </c>
      <c r="D11" s="372" t="s">
        <v>238</v>
      </c>
      <c r="E11" s="183" t="s">
        <v>141</v>
      </c>
      <c r="F11" s="183" t="s">
        <v>137</v>
      </c>
      <c r="G11" s="184">
        <v>318</v>
      </c>
    </row>
    <row r="12" s="156" customFormat="1" ht="20" customHeight="1" spans="2:7">
      <c r="B12" s="182">
        <v>7</v>
      </c>
      <c r="C12" s="183" t="s">
        <v>144</v>
      </c>
      <c r="D12" s="372" t="s">
        <v>238</v>
      </c>
      <c r="E12" s="183" t="s">
        <v>136</v>
      </c>
      <c r="F12" s="183" t="s">
        <v>145</v>
      </c>
      <c r="G12" s="184">
        <v>146</v>
      </c>
    </row>
    <row r="13" s="156" customFormat="1" ht="20" customHeight="1" spans="2:7">
      <c r="B13" s="182">
        <v>8</v>
      </c>
      <c r="C13" s="183" t="s">
        <v>146</v>
      </c>
      <c r="D13" s="372" t="s">
        <v>238</v>
      </c>
      <c r="E13" s="183" t="s">
        <v>136</v>
      </c>
      <c r="F13" s="183" t="s">
        <v>145</v>
      </c>
      <c r="G13" s="184">
        <v>170</v>
      </c>
    </row>
    <row r="14" s="156" customFormat="1" ht="20" customHeight="1" spans="2:7">
      <c r="B14" s="182">
        <v>9</v>
      </c>
      <c r="C14" s="183" t="s">
        <v>147</v>
      </c>
      <c r="D14" s="372" t="s">
        <v>238</v>
      </c>
      <c r="E14" s="183" t="s">
        <v>136</v>
      </c>
      <c r="F14" s="183" t="s">
        <v>145</v>
      </c>
      <c r="G14" s="184">
        <v>806</v>
      </c>
    </row>
    <row r="15" s="156" customFormat="1" ht="20" customHeight="1" spans="2:7">
      <c r="B15" s="182">
        <v>10</v>
      </c>
      <c r="C15" s="183" t="s">
        <v>149</v>
      </c>
      <c r="D15" s="372" t="s">
        <v>238</v>
      </c>
      <c r="E15" s="183" t="s">
        <v>136</v>
      </c>
      <c r="F15" s="183" t="s">
        <v>150</v>
      </c>
      <c r="G15" s="184">
        <v>305</v>
      </c>
    </row>
    <row r="16" s="156" customFormat="1" ht="20" customHeight="1" spans="2:7">
      <c r="B16" s="182">
        <v>11</v>
      </c>
      <c r="C16" s="183" t="s">
        <v>151</v>
      </c>
      <c r="D16" s="372" t="s">
        <v>238</v>
      </c>
      <c r="E16" s="183" t="s">
        <v>136</v>
      </c>
      <c r="F16" s="183" t="s">
        <v>150</v>
      </c>
      <c r="G16" s="184">
        <v>203</v>
      </c>
    </row>
    <row r="17" s="156" customFormat="1" ht="20" customHeight="1" spans="2:7">
      <c r="B17" s="182">
        <v>12</v>
      </c>
      <c r="C17" s="183" t="s">
        <v>152</v>
      </c>
      <c r="D17" s="372" t="s">
        <v>238</v>
      </c>
      <c r="E17" s="183" t="s">
        <v>141</v>
      </c>
      <c r="F17" s="183" t="s">
        <v>153</v>
      </c>
      <c r="G17" s="184">
        <v>186</v>
      </c>
    </row>
    <row r="18" s="156" customFormat="1" ht="20" customHeight="1" spans="2:7">
      <c r="B18" s="182">
        <v>13</v>
      </c>
      <c r="C18" s="183" t="s">
        <v>154</v>
      </c>
      <c r="D18" s="372" t="s">
        <v>238</v>
      </c>
      <c r="E18" s="183" t="s">
        <v>141</v>
      </c>
      <c r="F18" s="183" t="s">
        <v>153</v>
      </c>
      <c r="G18" s="184">
        <v>193</v>
      </c>
    </row>
    <row r="19" s="156" customFormat="1" ht="20" customHeight="1" spans="2:7">
      <c r="B19" s="182">
        <v>14</v>
      </c>
      <c r="C19" s="183" t="s">
        <v>155</v>
      </c>
      <c r="D19" s="372" t="s">
        <v>238</v>
      </c>
      <c r="E19" s="183" t="s">
        <v>141</v>
      </c>
      <c r="F19" s="183" t="s">
        <v>153</v>
      </c>
      <c r="G19" s="184">
        <v>162</v>
      </c>
    </row>
    <row r="20" s="156" customFormat="1" ht="20" customHeight="1" spans="2:7">
      <c r="B20" s="182">
        <v>15</v>
      </c>
      <c r="C20" s="183" t="s">
        <v>156</v>
      </c>
      <c r="D20" s="372" t="s">
        <v>238</v>
      </c>
      <c r="E20" s="183" t="s">
        <v>141</v>
      </c>
      <c r="F20" s="183" t="s">
        <v>153</v>
      </c>
      <c r="G20" s="184">
        <v>113</v>
      </c>
    </row>
    <row r="21" s="156" customFormat="1" ht="20" customHeight="1" spans="2:7">
      <c r="B21" s="182">
        <v>16</v>
      </c>
      <c r="C21" s="183" t="s">
        <v>157</v>
      </c>
      <c r="D21" s="372" t="s">
        <v>238</v>
      </c>
      <c r="E21" s="183" t="s">
        <v>141</v>
      </c>
      <c r="F21" s="183" t="s">
        <v>153</v>
      </c>
      <c r="G21" s="184">
        <v>349</v>
      </c>
    </row>
    <row r="22" s="156" customFormat="1" ht="20" customHeight="1" spans="2:7">
      <c r="B22" s="182">
        <v>17</v>
      </c>
      <c r="C22" s="183" t="s">
        <v>158</v>
      </c>
      <c r="D22" s="372" t="s">
        <v>238</v>
      </c>
      <c r="E22" s="183" t="s">
        <v>141</v>
      </c>
      <c r="F22" s="183" t="s">
        <v>153</v>
      </c>
      <c r="G22" s="184">
        <v>66</v>
      </c>
    </row>
    <row r="23" s="156" customFormat="1" ht="20" customHeight="1" spans="2:7">
      <c r="B23" s="182">
        <v>18</v>
      </c>
      <c r="C23" s="183" t="s">
        <v>159</v>
      </c>
      <c r="D23" s="372" t="s">
        <v>238</v>
      </c>
      <c r="E23" s="183" t="s">
        <v>141</v>
      </c>
      <c r="F23" s="183" t="s">
        <v>153</v>
      </c>
      <c r="G23" s="184">
        <v>168</v>
      </c>
    </row>
    <row r="24" s="156" customFormat="1" ht="20" customHeight="1" spans="2:7">
      <c r="B24" s="182">
        <v>19</v>
      </c>
      <c r="C24" s="183" t="s">
        <v>160</v>
      </c>
      <c r="D24" s="372" t="s">
        <v>238</v>
      </c>
      <c r="E24" s="183" t="s">
        <v>141</v>
      </c>
      <c r="F24" s="183" t="s">
        <v>153</v>
      </c>
      <c r="G24" s="184">
        <v>470</v>
      </c>
    </row>
    <row r="25" s="156" customFormat="1" ht="20" customHeight="1" spans="2:7">
      <c r="B25" s="182">
        <v>20</v>
      </c>
      <c r="C25" s="183" t="s">
        <v>162</v>
      </c>
      <c r="D25" s="183" t="s">
        <v>239</v>
      </c>
      <c r="E25" s="183" t="s">
        <v>136</v>
      </c>
      <c r="F25" s="183" t="s">
        <v>145</v>
      </c>
      <c r="G25" s="184">
        <v>448</v>
      </c>
    </row>
    <row r="26" s="156" customFormat="1" ht="20" customHeight="1" spans="2:7">
      <c r="B26" s="182">
        <v>21</v>
      </c>
      <c r="C26" s="183" t="s">
        <v>165</v>
      </c>
      <c r="D26" s="183" t="s">
        <v>239</v>
      </c>
      <c r="E26" s="183" t="s">
        <v>136</v>
      </c>
      <c r="F26" s="183" t="s">
        <v>145</v>
      </c>
      <c r="G26" s="184">
        <v>748</v>
      </c>
    </row>
    <row r="27" s="156" customFormat="1" ht="20" customHeight="1" spans="2:7">
      <c r="B27" s="182">
        <v>22</v>
      </c>
      <c r="C27" s="183" t="s">
        <v>166</v>
      </c>
      <c r="D27" s="183" t="s">
        <v>239</v>
      </c>
      <c r="E27" s="183" t="s">
        <v>136</v>
      </c>
      <c r="F27" s="183" t="s">
        <v>150</v>
      </c>
      <c r="G27" s="184">
        <v>138</v>
      </c>
    </row>
    <row r="28" s="156" customFormat="1" ht="20" customHeight="1" spans="2:7">
      <c r="B28" s="182">
        <v>23</v>
      </c>
      <c r="C28" s="183" t="s">
        <v>167</v>
      </c>
      <c r="D28" s="183" t="s">
        <v>239</v>
      </c>
      <c r="E28" s="183" t="s">
        <v>136</v>
      </c>
      <c r="F28" s="183" t="s">
        <v>150</v>
      </c>
      <c r="G28" s="184">
        <v>428</v>
      </c>
    </row>
    <row r="29" s="156" customFormat="1" ht="20" customHeight="1" spans="2:7">
      <c r="B29" s="182">
        <v>24</v>
      </c>
      <c r="C29" s="183" t="s">
        <v>168</v>
      </c>
      <c r="D29" s="183" t="s">
        <v>239</v>
      </c>
      <c r="E29" s="183" t="s">
        <v>141</v>
      </c>
      <c r="F29" s="183" t="s">
        <v>153</v>
      </c>
      <c r="G29" s="184">
        <v>268</v>
      </c>
    </row>
    <row r="30" s="156" customFormat="1" ht="20" customHeight="1" spans="2:7">
      <c r="B30" s="182">
        <v>25</v>
      </c>
      <c r="C30" s="183" t="s">
        <v>169</v>
      </c>
      <c r="D30" s="183" t="s">
        <v>239</v>
      </c>
      <c r="E30" s="183" t="s">
        <v>141</v>
      </c>
      <c r="F30" s="183" t="s">
        <v>153</v>
      </c>
      <c r="G30" s="184">
        <v>435</v>
      </c>
    </row>
    <row r="31" s="156" customFormat="1" ht="20" customHeight="1" spans="2:7">
      <c r="B31" s="182">
        <v>26</v>
      </c>
      <c r="C31" s="183" t="s">
        <v>170</v>
      </c>
      <c r="D31" s="183" t="s">
        <v>239</v>
      </c>
      <c r="E31" s="183" t="s">
        <v>141</v>
      </c>
      <c r="F31" s="183" t="s">
        <v>171</v>
      </c>
      <c r="G31" s="184">
        <v>454</v>
      </c>
    </row>
    <row r="32" s="156" customFormat="1" ht="20" customHeight="1" spans="2:7">
      <c r="B32" s="182">
        <v>27</v>
      </c>
      <c r="C32" s="183" t="s">
        <v>172</v>
      </c>
      <c r="D32" s="183" t="s">
        <v>239</v>
      </c>
      <c r="E32" s="183" t="s">
        <v>141</v>
      </c>
      <c r="F32" s="183" t="s">
        <v>171</v>
      </c>
      <c r="G32" s="184">
        <v>119</v>
      </c>
    </row>
    <row r="33" s="156" customFormat="1" ht="20" customHeight="1" spans="2:8">
      <c r="B33" s="182">
        <v>28</v>
      </c>
      <c r="C33" s="183" t="s">
        <v>177</v>
      </c>
      <c r="D33" s="372" t="s">
        <v>240</v>
      </c>
      <c r="E33" s="183" t="s">
        <v>136</v>
      </c>
      <c r="F33" s="183" t="s">
        <v>145</v>
      </c>
      <c r="G33" s="184">
        <v>630</v>
      </c>
      <c r="H33" s="366"/>
    </row>
    <row r="34" s="156" customFormat="1" ht="20" customHeight="1" spans="2:7">
      <c r="B34" s="182" t="s">
        <v>179</v>
      </c>
      <c r="C34" s="339" t="s">
        <v>241</v>
      </c>
      <c r="D34" s="340"/>
      <c r="E34" s="340"/>
      <c r="F34" s="341"/>
      <c r="G34" s="184"/>
    </row>
    <row r="35" s="156" customFormat="1" ht="20" customHeight="1" spans="2:7">
      <c r="B35" s="182">
        <v>1</v>
      </c>
      <c r="C35" s="183" t="s">
        <v>242</v>
      </c>
      <c r="D35" s="183" t="s">
        <v>243</v>
      </c>
      <c r="E35" s="183" t="s">
        <v>244</v>
      </c>
      <c r="F35" s="183" t="s">
        <v>137</v>
      </c>
      <c r="G35" s="184">
        <v>996</v>
      </c>
    </row>
    <row r="36" s="156" customFormat="1" ht="20" customHeight="1" spans="2:7">
      <c r="B36" s="182">
        <v>2</v>
      </c>
      <c r="C36" s="183" t="s">
        <v>242</v>
      </c>
      <c r="D36" s="183" t="s">
        <v>245</v>
      </c>
      <c r="E36" s="183" t="s">
        <v>244</v>
      </c>
      <c r="F36" s="183" t="s">
        <v>137</v>
      </c>
      <c r="G36" s="184">
        <v>52.8</v>
      </c>
    </row>
    <row r="37" s="333" customFormat="1" ht="20" customHeight="1" spans="1:7">
      <c r="A37" s="156"/>
      <c r="B37" s="182" t="s">
        <v>182</v>
      </c>
      <c r="C37" s="339" t="s">
        <v>183</v>
      </c>
      <c r="D37" s="340"/>
      <c r="E37" s="340"/>
      <c r="F37" s="341"/>
      <c r="G37" s="184"/>
    </row>
    <row r="38" ht="20" customHeight="1" spans="1:7">
      <c r="A38" s="156"/>
      <c r="B38" s="182">
        <v>1</v>
      </c>
      <c r="C38" s="183" t="s">
        <v>185</v>
      </c>
      <c r="D38" s="183" t="s">
        <v>239</v>
      </c>
      <c r="E38" s="183" t="s">
        <v>141</v>
      </c>
      <c r="F38" s="183" t="s">
        <v>150</v>
      </c>
      <c r="G38" s="184">
        <v>50</v>
      </c>
    </row>
    <row r="39" ht="20" customHeight="1" spans="1:7">
      <c r="A39" s="156"/>
      <c r="B39" s="182">
        <v>2</v>
      </c>
      <c r="C39" s="183" t="s">
        <v>189</v>
      </c>
      <c r="D39" s="183" t="s">
        <v>239</v>
      </c>
      <c r="E39" s="183" t="s">
        <v>141</v>
      </c>
      <c r="F39" s="183" t="s">
        <v>150</v>
      </c>
      <c r="G39" s="184">
        <v>40</v>
      </c>
    </row>
    <row r="40" s="171" customFormat="1" ht="20" customHeight="1" spans="1:7">
      <c r="A40" s="156"/>
      <c r="B40" s="182">
        <v>3</v>
      </c>
      <c r="C40" s="183" t="s">
        <v>192</v>
      </c>
      <c r="D40" s="372" t="s">
        <v>240</v>
      </c>
      <c r="E40" s="183" t="s">
        <v>141</v>
      </c>
      <c r="F40" s="183" t="s">
        <v>153</v>
      </c>
      <c r="G40" s="184">
        <v>5</v>
      </c>
    </row>
    <row r="41" s="171" customFormat="1" ht="20" customHeight="1" spans="1:7">
      <c r="A41" s="156"/>
      <c r="B41" s="182">
        <v>4</v>
      </c>
      <c r="C41" s="183" t="s">
        <v>195</v>
      </c>
      <c r="D41" s="372" t="s">
        <v>240</v>
      </c>
      <c r="E41" s="183" t="s">
        <v>141</v>
      </c>
      <c r="F41" s="183" t="s">
        <v>171</v>
      </c>
      <c r="G41" s="184">
        <v>7</v>
      </c>
    </row>
    <row r="42" ht="20" customHeight="1" spans="1:7">
      <c r="A42" s="156"/>
      <c r="B42" s="182">
        <v>6</v>
      </c>
      <c r="C42" s="183" t="s">
        <v>196</v>
      </c>
      <c r="D42" s="373" t="s">
        <v>246</v>
      </c>
      <c r="E42" s="373"/>
      <c r="F42" s="183" t="s">
        <v>247</v>
      </c>
      <c r="G42" s="184">
        <v>3500</v>
      </c>
    </row>
    <row r="43" ht="20" customHeight="1" spans="1:7">
      <c r="A43" s="156"/>
      <c r="B43" s="182">
        <v>7</v>
      </c>
      <c r="C43" s="183" t="s">
        <v>199</v>
      </c>
      <c r="D43" s="373"/>
      <c r="E43" s="373"/>
      <c r="F43" s="183" t="s">
        <v>248</v>
      </c>
      <c r="G43" s="184">
        <v>3500</v>
      </c>
    </row>
    <row r="44" ht="20" customHeight="1" spans="1:7">
      <c r="A44" s="156"/>
      <c r="B44" s="182">
        <v>8</v>
      </c>
      <c r="C44" s="183" t="s">
        <v>201</v>
      </c>
      <c r="D44" s="373"/>
      <c r="E44" s="373"/>
      <c r="F44" s="183" t="s">
        <v>249</v>
      </c>
      <c r="G44" s="184">
        <v>4500</v>
      </c>
    </row>
    <row r="45" ht="20" customHeight="1" spans="1:7">
      <c r="A45" s="156"/>
      <c r="B45" s="182">
        <v>9</v>
      </c>
      <c r="C45" s="183" t="s">
        <v>202</v>
      </c>
      <c r="D45" s="373"/>
      <c r="E45" s="373"/>
      <c r="F45" s="183" t="s">
        <v>250</v>
      </c>
      <c r="G45" s="184">
        <v>3500</v>
      </c>
    </row>
    <row r="46" ht="20" customHeight="1" spans="1:7">
      <c r="A46" s="156"/>
      <c r="B46" s="182">
        <v>10</v>
      </c>
      <c r="C46" s="183" t="s">
        <v>203</v>
      </c>
      <c r="D46" s="373"/>
      <c r="E46" s="373"/>
      <c r="F46" s="183" t="s">
        <v>251</v>
      </c>
      <c r="G46" s="184">
        <v>1000</v>
      </c>
    </row>
    <row r="47" ht="20" customHeight="1" spans="1:7">
      <c r="A47" s="156"/>
      <c r="B47" s="182" t="s">
        <v>204</v>
      </c>
      <c r="C47" s="183" t="s">
        <v>205</v>
      </c>
      <c r="D47" s="339" t="s">
        <v>252</v>
      </c>
      <c r="E47" s="341"/>
      <c r="F47" s="183" t="s">
        <v>171</v>
      </c>
      <c r="G47" s="184" t="s">
        <v>253</v>
      </c>
    </row>
    <row r="48" ht="20" customHeight="1" spans="1:7">
      <c r="A48" s="156"/>
      <c r="B48" s="182"/>
      <c r="C48" s="183" t="s">
        <v>207</v>
      </c>
      <c r="D48" s="376" t="s">
        <v>254</v>
      </c>
      <c r="E48" s="383"/>
      <c r="F48" s="183" t="s">
        <v>171</v>
      </c>
      <c r="G48" s="184"/>
    </row>
    <row r="49" s="334" customFormat="1" ht="20" customHeight="1" spans="1:7">
      <c r="A49" s="332"/>
      <c r="B49" s="336" t="s">
        <v>71</v>
      </c>
      <c r="C49" s="337" t="s">
        <v>222</v>
      </c>
      <c r="D49" s="337"/>
      <c r="E49" s="337"/>
      <c r="F49" s="337"/>
      <c r="G49" s="338">
        <f>SUM(G50:G51)</f>
        <v>499</v>
      </c>
    </row>
    <row r="50" ht="20" customHeight="1" spans="1:7">
      <c r="A50" s="156"/>
      <c r="B50" s="182">
        <v>1</v>
      </c>
      <c r="C50" s="183" t="s">
        <v>223</v>
      </c>
      <c r="D50" s="183" t="s">
        <v>255</v>
      </c>
      <c r="E50" s="183" t="s">
        <v>256</v>
      </c>
      <c r="F50" s="183" t="s">
        <v>137</v>
      </c>
      <c r="G50" s="184">
        <v>454</v>
      </c>
    </row>
    <row r="51" ht="20" customHeight="1" spans="1:7">
      <c r="A51" s="156"/>
      <c r="B51" s="182">
        <v>2</v>
      </c>
      <c r="C51" s="183" t="s">
        <v>225</v>
      </c>
      <c r="D51" s="183" t="s">
        <v>255</v>
      </c>
      <c r="E51" s="183" t="s">
        <v>256</v>
      </c>
      <c r="F51" s="183" t="s">
        <v>153</v>
      </c>
      <c r="G51" s="184">
        <v>45</v>
      </c>
    </row>
    <row r="52" s="334" customFormat="1" ht="20" customHeight="1" spans="1:7">
      <c r="A52" s="332"/>
      <c r="B52" s="336" t="s">
        <v>73</v>
      </c>
      <c r="C52" s="374" t="s">
        <v>209</v>
      </c>
      <c r="D52" s="374"/>
      <c r="E52" s="374"/>
      <c r="F52" s="374"/>
      <c r="G52" s="375"/>
    </row>
    <row r="53" ht="20" customHeight="1" spans="1:7">
      <c r="A53" s="156"/>
      <c r="B53" s="182">
        <v>1</v>
      </c>
      <c r="C53" s="183" t="s">
        <v>210</v>
      </c>
      <c r="D53" s="376" t="s">
        <v>211</v>
      </c>
      <c r="E53" s="377"/>
      <c r="F53" s="377"/>
      <c r="G53" s="378"/>
    </row>
    <row r="54" ht="20" customHeight="1" spans="1:7">
      <c r="A54" s="156"/>
      <c r="B54" s="182">
        <v>2</v>
      </c>
      <c r="C54" s="183" t="s">
        <v>212</v>
      </c>
      <c r="D54" s="376" t="s">
        <v>213</v>
      </c>
      <c r="E54" s="377"/>
      <c r="F54" s="377"/>
      <c r="G54" s="378"/>
    </row>
    <row r="55" ht="20" customHeight="1" spans="1:7">
      <c r="A55" s="156"/>
      <c r="B55" s="182">
        <v>3</v>
      </c>
      <c r="C55" s="183" t="s">
        <v>214</v>
      </c>
      <c r="D55" s="376" t="s">
        <v>215</v>
      </c>
      <c r="E55" s="377"/>
      <c r="F55" s="377"/>
      <c r="G55" s="378"/>
    </row>
    <row r="56" ht="20" customHeight="1" spans="1:7">
      <c r="A56" s="156"/>
      <c r="B56" s="182">
        <v>4</v>
      </c>
      <c r="C56" s="183" t="s">
        <v>216</v>
      </c>
      <c r="D56" s="376" t="s">
        <v>257</v>
      </c>
      <c r="E56" s="377"/>
      <c r="F56" s="377"/>
      <c r="G56" s="378"/>
    </row>
    <row r="57" ht="20" customHeight="1" spans="1:7">
      <c r="A57" s="156"/>
      <c r="B57" s="182">
        <v>5</v>
      </c>
      <c r="C57" s="183" t="s">
        <v>218</v>
      </c>
      <c r="D57" s="376" t="s">
        <v>219</v>
      </c>
      <c r="E57" s="377"/>
      <c r="F57" s="377"/>
      <c r="G57" s="378"/>
    </row>
    <row r="58" ht="20" customHeight="1" spans="1:7">
      <c r="A58" s="156"/>
      <c r="B58" s="182">
        <v>6</v>
      </c>
      <c r="C58" s="183" t="s">
        <v>220</v>
      </c>
      <c r="D58" s="376" t="s">
        <v>221</v>
      </c>
      <c r="E58" s="377"/>
      <c r="F58" s="377"/>
      <c r="G58" s="378"/>
    </row>
    <row r="59" ht="20" customHeight="1" spans="1:7">
      <c r="A59" s="156"/>
      <c r="B59" s="336" t="s">
        <v>75</v>
      </c>
      <c r="C59" s="374" t="s">
        <v>258</v>
      </c>
      <c r="D59" s="373"/>
      <c r="E59" s="373"/>
      <c r="F59" s="373"/>
      <c r="G59" s="379"/>
    </row>
    <row r="60" ht="20" customHeight="1" spans="1:7">
      <c r="A60" s="156"/>
      <c r="B60" s="336" t="s">
        <v>77</v>
      </c>
      <c r="C60" s="374" t="s">
        <v>259</v>
      </c>
      <c r="D60" s="373"/>
      <c r="E60" s="373"/>
      <c r="F60" s="373"/>
      <c r="G60" s="379"/>
    </row>
    <row r="61" ht="25" customHeight="1" spans="1:7">
      <c r="A61" s="156"/>
      <c r="B61" s="380" t="s">
        <v>260</v>
      </c>
      <c r="C61" s="381"/>
      <c r="D61" s="381"/>
      <c r="E61" s="381"/>
      <c r="F61" s="381"/>
      <c r="G61" s="382"/>
    </row>
    <row r="62" ht="5" customHeight="1"/>
  </sheetData>
  <mergeCells count="17">
    <mergeCell ref="B2:G2"/>
    <mergeCell ref="C5:F5"/>
    <mergeCell ref="C34:F34"/>
    <mergeCell ref="C37:F37"/>
    <mergeCell ref="D47:E47"/>
    <mergeCell ref="D48:E48"/>
    <mergeCell ref="C52:G52"/>
    <mergeCell ref="D53:G53"/>
    <mergeCell ref="D54:G54"/>
    <mergeCell ref="D55:G55"/>
    <mergeCell ref="D56:G56"/>
    <mergeCell ref="D57:G57"/>
    <mergeCell ref="D58:G58"/>
    <mergeCell ref="C59:G59"/>
    <mergeCell ref="C60:G60"/>
    <mergeCell ref="B61:G61"/>
    <mergeCell ref="D42:E46"/>
  </mergeCells>
  <pageMargins left="1.73194444444444" right="0.751388888888889" top="0.275" bottom="0.236111111111111" header="0.156944444444444" footer="0.156944444444444"/>
  <pageSetup paperSize="8" orientation="portrait" horizontalDpi="600"/>
  <headerFooter>
    <oddFooter>&amp;C&amp;10第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7"/>
  <sheetViews>
    <sheetView topLeftCell="A37" workbookViewId="0">
      <selection activeCell="J57" sqref="J57"/>
    </sheetView>
  </sheetViews>
  <sheetFormatPr defaultColWidth="9" defaultRowHeight="11.25" outlineLevelCol="7"/>
  <cols>
    <col min="1" max="1" width="1.125" style="124" customWidth="1"/>
    <col min="2" max="2" width="7.125" style="124" customWidth="1"/>
    <col min="3" max="3" width="16.625" style="124" customWidth="1"/>
    <col min="4" max="4" width="17.5" style="124" customWidth="1"/>
    <col min="5" max="5" width="8.625" style="124" customWidth="1"/>
    <col min="6" max="6" width="10.875" style="124" customWidth="1"/>
    <col min="7" max="7" width="9.75" style="124" customWidth="1"/>
    <col min="8" max="8" width="1.25" style="124" customWidth="1"/>
    <col min="9" max="16384" width="9" style="124"/>
  </cols>
  <sheetData>
    <row r="1" ht="6" customHeight="1"/>
    <row r="2" s="156" customFormat="1" ht="30" customHeight="1" spans="2:7">
      <c r="B2" s="335" t="s">
        <v>234</v>
      </c>
      <c r="C2" s="335"/>
      <c r="D2" s="335"/>
      <c r="E2" s="335"/>
      <c r="F2" s="335"/>
      <c r="G2" s="335"/>
    </row>
    <row r="3" s="156" customFormat="1" ht="27" customHeight="1" spans="2:7">
      <c r="B3" s="179" t="s">
        <v>116</v>
      </c>
      <c r="C3" s="180" t="s">
        <v>235</v>
      </c>
      <c r="D3" s="180" t="s">
        <v>236</v>
      </c>
      <c r="E3" s="180" t="s">
        <v>120</v>
      </c>
      <c r="F3" s="180" t="s">
        <v>237</v>
      </c>
      <c r="G3" s="181" t="s">
        <v>118</v>
      </c>
    </row>
    <row r="4" s="332" customFormat="1" ht="20" customHeight="1" spans="2:7">
      <c r="B4" s="336" t="s">
        <v>69</v>
      </c>
      <c r="C4" s="337" t="s">
        <v>130</v>
      </c>
      <c r="D4" s="337"/>
      <c r="E4" s="337"/>
      <c r="F4" s="337"/>
      <c r="G4" s="338"/>
    </row>
    <row r="5" s="156" customFormat="1" ht="20" customHeight="1" spans="2:7">
      <c r="B5" s="182" t="s">
        <v>131</v>
      </c>
      <c r="C5" s="339" t="s">
        <v>132</v>
      </c>
      <c r="D5" s="340"/>
      <c r="E5" s="340"/>
      <c r="F5" s="341"/>
      <c r="G5" s="184">
        <f>SUM(G6:G47)</f>
        <v>17772.8</v>
      </c>
    </row>
    <row r="6" s="156" customFormat="1" ht="20" customHeight="1" spans="2:7">
      <c r="B6" s="342">
        <v>1</v>
      </c>
      <c r="C6" s="234" t="s">
        <v>134</v>
      </c>
      <c r="D6" s="343" t="s">
        <v>238</v>
      </c>
      <c r="E6" s="234" t="s">
        <v>136</v>
      </c>
      <c r="F6" s="234" t="s">
        <v>137</v>
      </c>
      <c r="G6" s="344">
        <v>79</v>
      </c>
    </row>
    <row r="7" s="156" customFormat="1" ht="20" customHeight="1" spans="2:7">
      <c r="B7" s="342">
        <v>2</v>
      </c>
      <c r="C7" s="234" t="s">
        <v>138</v>
      </c>
      <c r="D7" s="343" t="s">
        <v>238</v>
      </c>
      <c r="E7" s="234" t="s">
        <v>136</v>
      </c>
      <c r="F7" s="234" t="s">
        <v>137</v>
      </c>
      <c r="G7" s="344">
        <v>307</v>
      </c>
    </row>
    <row r="8" s="156" customFormat="1" ht="20" customHeight="1" spans="2:7">
      <c r="B8" s="342">
        <v>3</v>
      </c>
      <c r="C8" s="234" t="s">
        <v>139</v>
      </c>
      <c r="D8" s="343" t="s">
        <v>238</v>
      </c>
      <c r="E8" s="234" t="s">
        <v>136</v>
      </c>
      <c r="F8" s="234" t="s">
        <v>137</v>
      </c>
      <c r="G8" s="344">
        <v>146</v>
      </c>
    </row>
    <row r="9" s="156" customFormat="1" ht="20" customHeight="1" spans="2:7">
      <c r="B9" s="342">
        <v>4</v>
      </c>
      <c r="C9" s="234" t="s">
        <v>140</v>
      </c>
      <c r="D9" s="343" t="s">
        <v>238</v>
      </c>
      <c r="E9" s="234" t="s">
        <v>141</v>
      </c>
      <c r="F9" s="234" t="s">
        <v>137</v>
      </c>
      <c r="G9" s="344">
        <v>188</v>
      </c>
    </row>
    <row r="10" s="156" customFormat="1" ht="20" customHeight="1" spans="2:7">
      <c r="B10" s="342">
        <v>5</v>
      </c>
      <c r="C10" s="234" t="s">
        <v>142</v>
      </c>
      <c r="D10" s="343" t="s">
        <v>238</v>
      </c>
      <c r="E10" s="234" t="s">
        <v>141</v>
      </c>
      <c r="F10" s="234" t="s">
        <v>137</v>
      </c>
      <c r="G10" s="344">
        <v>356</v>
      </c>
    </row>
    <row r="11" s="156" customFormat="1" ht="20" customHeight="1" spans="2:7">
      <c r="B11" s="342">
        <v>6</v>
      </c>
      <c r="C11" s="234" t="s">
        <v>143</v>
      </c>
      <c r="D11" s="343" t="s">
        <v>238</v>
      </c>
      <c r="E11" s="234" t="s">
        <v>141</v>
      </c>
      <c r="F11" s="234" t="s">
        <v>137</v>
      </c>
      <c r="G11" s="344">
        <v>318</v>
      </c>
    </row>
    <row r="12" s="156" customFormat="1" ht="20" customHeight="1" spans="2:7">
      <c r="B12" s="342"/>
      <c r="C12" s="234" t="s">
        <v>161</v>
      </c>
      <c r="D12" s="343"/>
      <c r="E12" s="234"/>
      <c r="F12" s="234"/>
      <c r="G12" s="345">
        <f>SUM(G6:G11)</f>
        <v>1394</v>
      </c>
    </row>
    <row r="13" s="156" customFormat="1" ht="20" customHeight="1" spans="2:7">
      <c r="B13" s="342"/>
      <c r="C13" s="346" t="s">
        <v>241</v>
      </c>
      <c r="D13" s="347"/>
      <c r="E13" s="347"/>
      <c r="F13" s="348"/>
      <c r="G13" s="344"/>
    </row>
    <row r="14" s="156" customFormat="1" ht="20" customHeight="1" spans="2:7">
      <c r="B14" s="342"/>
      <c r="C14" s="234" t="s">
        <v>242</v>
      </c>
      <c r="D14" s="234" t="s">
        <v>243</v>
      </c>
      <c r="E14" s="234" t="s">
        <v>244</v>
      </c>
      <c r="F14" s="234" t="s">
        <v>137</v>
      </c>
      <c r="G14" s="344">
        <v>996</v>
      </c>
    </row>
    <row r="15" s="156" customFormat="1" ht="20" customHeight="1" spans="2:7">
      <c r="B15" s="342"/>
      <c r="C15" s="234" t="s">
        <v>242</v>
      </c>
      <c r="D15" s="234" t="s">
        <v>245</v>
      </c>
      <c r="E15" s="234" t="s">
        <v>244</v>
      </c>
      <c r="F15" s="234" t="s">
        <v>137</v>
      </c>
      <c r="G15" s="344">
        <v>52.8</v>
      </c>
    </row>
    <row r="16" s="156" customFormat="1" ht="20" customHeight="1" spans="2:7">
      <c r="B16" s="182">
        <v>1</v>
      </c>
      <c r="C16" s="183" t="s">
        <v>223</v>
      </c>
      <c r="D16" s="183" t="s">
        <v>255</v>
      </c>
      <c r="E16" s="183" t="s">
        <v>256</v>
      </c>
      <c r="F16" s="183" t="s">
        <v>137</v>
      </c>
      <c r="G16" s="184">
        <v>454</v>
      </c>
    </row>
    <row r="17" s="156" customFormat="1" ht="20" customHeight="1" spans="2:7">
      <c r="B17" s="342"/>
      <c r="C17" s="234"/>
      <c r="D17" s="234"/>
      <c r="E17" s="234"/>
      <c r="F17" s="234"/>
      <c r="G17" s="344"/>
    </row>
    <row r="18" s="156" customFormat="1" ht="20" customHeight="1" spans="2:7">
      <c r="B18" s="349">
        <v>7</v>
      </c>
      <c r="C18" s="350" t="s">
        <v>144</v>
      </c>
      <c r="D18" s="351" t="s">
        <v>238</v>
      </c>
      <c r="E18" s="350" t="s">
        <v>136</v>
      </c>
      <c r="F18" s="350" t="s">
        <v>145</v>
      </c>
      <c r="G18" s="352">
        <v>146</v>
      </c>
    </row>
    <row r="19" s="156" customFormat="1" ht="20" customHeight="1" spans="2:7">
      <c r="B19" s="349">
        <v>8</v>
      </c>
      <c r="C19" s="350" t="s">
        <v>146</v>
      </c>
      <c r="D19" s="351" t="s">
        <v>238</v>
      </c>
      <c r="E19" s="350" t="s">
        <v>136</v>
      </c>
      <c r="F19" s="350" t="s">
        <v>145</v>
      </c>
      <c r="G19" s="352">
        <v>170</v>
      </c>
    </row>
    <row r="20" s="156" customFormat="1" ht="20" customHeight="1" spans="2:7">
      <c r="B20" s="349">
        <v>9</v>
      </c>
      <c r="C20" s="350" t="s">
        <v>147</v>
      </c>
      <c r="D20" s="351" t="s">
        <v>238</v>
      </c>
      <c r="E20" s="350" t="s">
        <v>136</v>
      </c>
      <c r="F20" s="350" t="s">
        <v>145</v>
      </c>
      <c r="G20" s="352">
        <v>806</v>
      </c>
    </row>
    <row r="21" s="156" customFormat="1" ht="20" customHeight="1" spans="2:7">
      <c r="B21" s="349"/>
      <c r="C21" s="350" t="s">
        <v>161</v>
      </c>
      <c r="D21" s="351"/>
      <c r="E21" s="350"/>
      <c r="F21" s="350"/>
      <c r="G21" s="345">
        <f>SUM(G18:G20)</f>
        <v>1122</v>
      </c>
    </row>
    <row r="22" s="156" customFormat="1" ht="20" customHeight="1" spans="2:7">
      <c r="B22" s="349"/>
      <c r="C22" s="350" t="s">
        <v>162</v>
      </c>
      <c r="D22" s="350" t="s">
        <v>239</v>
      </c>
      <c r="E22" s="350" t="s">
        <v>136</v>
      </c>
      <c r="F22" s="350" t="s">
        <v>145</v>
      </c>
      <c r="G22" s="352">
        <v>448</v>
      </c>
    </row>
    <row r="23" s="156" customFormat="1" ht="20" customHeight="1" spans="2:7">
      <c r="B23" s="349"/>
      <c r="C23" s="350" t="s">
        <v>165</v>
      </c>
      <c r="D23" s="350" t="s">
        <v>239</v>
      </c>
      <c r="E23" s="350" t="s">
        <v>136</v>
      </c>
      <c r="F23" s="350" t="s">
        <v>145</v>
      </c>
      <c r="G23" s="352">
        <v>748</v>
      </c>
    </row>
    <row r="24" s="156" customFormat="1" ht="20" customHeight="1" spans="2:7">
      <c r="B24" s="349"/>
      <c r="C24" s="350" t="s">
        <v>161</v>
      </c>
      <c r="D24" s="351"/>
      <c r="E24" s="350"/>
      <c r="F24" s="350"/>
      <c r="G24" s="345">
        <f>SUM(G22:G23)</f>
        <v>1196</v>
      </c>
    </row>
    <row r="25" s="156" customFormat="1" ht="20" customHeight="1" spans="2:7">
      <c r="B25" s="353"/>
      <c r="C25" s="350" t="s">
        <v>177</v>
      </c>
      <c r="D25" s="351" t="s">
        <v>240</v>
      </c>
      <c r="E25" s="350" t="s">
        <v>136</v>
      </c>
      <c r="F25" s="350" t="s">
        <v>145</v>
      </c>
      <c r="G25" s="352">
        <v>630</v>
      </c>
    </row>
    <row r="26" s="156" customFormat="1" ht="20" customHeight="1" spans="2:7">
      <c r="B26" s="353"/>
      <c r="C26" s="350" t="s">
        <v>161</v>
      </c>
      <c r="D26" s="351"/>
      <c r="E26" s="350"/>
      <c r="F26" s="350"/>
      <c r="G26" s="345">
        <f>SUM(G25:G25)</f>
        <v>630</v>
      </c>
    </row>
    <row r="27" s="156" customFormat="1" ht="20" customHeight="1" spans="2:7">
      <c r="B27" s="354"/>
      <c r="C27" s="355" t="s">
        <v>149</v>
      </c>
      <c r="D27" s="356" t="s">
        <v>238</v>
      </c>
      <c r="E27" s="355" t="s">
        <v>136</v>
      </c>
      <c r="F27" s="355" t="s">
        <v>150</v>
      </c>
      <c r="G27" s="184">
        <v>305</v>
      </c>
    </row>
    <row r="28" s="156" customFormat="1" ht="20" customHeight="1" spans="2:7">
      <c r="B28" s="357">
        <v>10</v>
      </c>
      <c r="C28" s="355" t="s">
        <v>151</v>
      </c>
      <c r="D28" s="356" t="s">
        <v>238</v>
      </c>
      <c r="E28" s="355" t="s">
        <v>136</v>
      </c>
      <c r="F28" s="355" t="s">
        <v>150</v>
      </c>
      <c r="G28" s="184">
        <v>203</v>
      </c>
    </row>
    <row r="29" s="156" customFormat="1" ht="20" customHeight="1" spans="2:7">
      <c r="B29" s="357">
        <v>11</v>
      </c>
      <c r="C29" s="355" t="s">
        <v>161</v>
      </c>
      <c r="D29" s="356"/>
      <c r="E29" s="355"/>
      <c r="F29" s="355"/>
      <c r="G29" s="345">
        <f>SUM(G27:G28)</f>
        <v>508</v>
      </c>
    </row>
    <row r="30" s="156" customFormat="1" ht="20" customHeight="1" spans="2:7">
      <c r="B30" s="357">
        <v>12</v>
      </c>
      <c r="C30" s="355" t="s">
        <v>166</v>
      </c>
      <c r="D30" s="355" t="s">
        <v>239</v>
      </c>
      <c r="E30" s="355" t="s">
        <v>136</v>
      </c>
      <c r="F30" s="355" t="s">
        <v>150</v>
      </c>
      <c r="G30" s="184">
        <v>138</v>
      </c>
    </row>
    <row r="31" s="156" customFormat="1" ht="20" customHeight="1" spans="2:7">
      <c r="B31" s="357">
        <v>13</v>
      </c>
      <c r="C31" s="355" t="s">
        <v>167</v>
      </c>
      <c r="D31" s="355" t="s">
        <v>239</v>
      </c>
      <c r="E31" s="355" t="s">
        <v>136</v>
      </c>
      <c r="F31" s="355" t="s">
        <v>150</v>
      </c>
      <c r="G31" s="184">
        <v>428</v>
      </c>
    </row>
    <row r="32" s="156" customFormat="1" ht="20" customHeight="1" spans="2:7">
      <c r="B32" s="357">
        <v>14</v>
      </c>
      <c r="C32" s="355" t="s">
        <v>161</v>
      </c>
      <c r="D32" s="356"/>
      <c r="E32" s="355"/>
      <c r="F32" s="355"/>
      <c r="G32" s="345">
        <f>SUM(G30:G31)</f>
        <v>566</v>
      </c>
    </row>
    <row r="33" s="156" customFormat="1" ht="20" customHeight="1" spans="1:7">
      <c r="A33" s="358"/>
      <c r="B33" s="359">
        <v>15</v>
      </c>
      <c r="C33" s="360" t="s">
        <v>152</v>
      </c>
      <c r="D33" s="361" t="s">
        <v>238</v>
      </c>
      <c r="E33" s="360" t="s">
        <v>141</v>
      </c>
      <c r="F33" s="360" t="s">
        <v>153</v>
      </c>
      <c r="G33" s="362">
        <v>186</v>
      </c>
    </row>
    <row r="34" s="156" customFormat="1" ht="20" customHeight="1" spans="1:7">
      <c r="A34" s="358"/>
      <c r="B34" s="359">
        <v>16</v>
      </c>
      <c r="C34" s="360" t="s">
        <v>154</v>
      </c>
      <c r="D34" s="361" t="s">
        <v>238</v>
      </c>
      <c r="E34" s="360" t="s">
        <v>141</v>
      </c>
      <c r="F34" s="360" t="s">
        <v>153</v>
      </c>
      <c r="G34" s="362">
        <v>193</v>
      </c>
    </row>
    <row r="35" s="156" customFormat="1" ht="20" customHeight="1" spans="1:7">
      <c r="A35" s="358"/>
      <c r="B35" s="359">
        <v>17</v>
      </c>
      <c r="C35" s="360" t="s">
        <v>155</v>
      </c>
      <c r="D35" s="361" t="s">
        <v>238</v>
      </c>
      <c r="E35" s="360" t="s">
        <v>141</v>
      </c>
      <c r="F35" s="360" t="s">
        <v>153</v>
      </c>
      <c r="G35" s="362">
        <v>162</v>
      </c>
    </row>
    <row r="36" s="156" customFormat="1" ht="20" customHeight="1" spans="1:7">
      <c r="A36" s="358"/>
      <c r="B36" s="359">
        <v>18</v>
      </c>
      <c r="C36" s="360" t="s">
        <v>156</v>
      </c>
      <c r="D36" s="361" t="s">
        <v>238</v>
      </c>
      <c r="E36" s="360" t="s">
        <v>141</v>
      </c>
      <c r="F36" s="360" t="s">
        <v>153</v>
      </c>
      <c r="G36" s="362">
        <v>113</v>
      </c>
    </row>
    <row r="37" s="156" customFormat="1" ht="20" customHeight="1" spans="1:7">
      <c r="A37" s="358"/>
      <c r="B37" s="359">
        <v>19</v>
      </c>
      <c r="C37" s="360" t="s">
        <v>157</v>
      </c>
      <c r="D37" s="361" t="s">
        <v>238</v>
      </c>
      <c r="E37" s="360" t="s">
        <v>141</v>
      </c>
      <c r="F37" s="360" t="s">
        <v>153</v>
      </c>
      <c r="G37" s="362">
        <v>349</v>
      </c>
    </row>
    <row r="38" s="156" customFormat="1" ht="20" customHeight="1" spans="1:7">
      <c r="A38" s="358"/>
      <c r="B38" s="359">
        <v>20</v>
      </c>
      <c r="C38" s="360" t="s">
        <v>158</v>
      </c>
      <c r="D38" s="361" t="s">
        <v>238</v>
      </c>
      <c r="E38" s="360" t="s">
        <v>141</v>
      </c>
      <c r="F38" s="360" t="s">
        <v>153</v>
      </c>
      <c r="G38" s="362">
        <v>66</v>
      </c>
    </row>
    <row r="39" s="156" customFormat="1" ht="20" customHeight="1" spans="1:7">
      <c r="A39" s="358"/>
      <c r="B39" s="359">
        <v>21</v>
      </c>
      <c r="C39" s="360" t="s">
        <v>159</v>
      </c>
      <c r="D39" s="361" t="s">
        <v>238</v>
      </c>
      <c r="E39" s="360" t="s">
        <v>141</v>
      </c>
      <c r="F39" s="360" t="s">
        <v>153</v>
      </c>
      <c r="G39" s="362">
        <v>168</v>
      </c>
    </row>
    <row r="40" s="156" customFormat="1" ht="20" customHeight="1" spans="1:7">
      <c r="A40" s="358"/>
      <c r="B40" s="359">
        <v>22</v>
      </c>
      <c r="C40" s="360" t="s">
        <v>160</v>
      </c>
      <c r="D40" s="361" t="s">
        <v>238</v>
      </c>
      <c r="E40" s="360" t="s">
        <v>141</v>
      </c>
      <c r="F40" s="360" t="s">
        <v>153</v>
      </c>
      <c r="G40" s="362">
        <v>470</v>
      </c>
    </row>
    <row r="41" s="156" customFormat="1" ht="20" customHeight="1" spans="1:7">
      <c r="A41" s="358"/>
      <c r="B41" s="359">
        <v>23</v>
      </c>
      <c r="C41" s="360" t="s">
        <v>161</v>
      </c>
      <c r="D41" s="361"/>
      <c r="E41" s="360"/>
      <c r="F41" s="360"/>
      <c r="G41" s="345">
        <f>SUM(G33:G40)</f>
        <v>1707</v>
      </c>
    </row>
    <row r="42" s="156" customFormat="1" ht="20" customHeight="1" spans="1:7">
      <c r="A42" s="358"/>
      <c r="B42" s="359">
        <v>24</v>
      </c>
      <c r="C42" s="360" t="s">
        <v>168</v>
      </c>
      <c r="D42" s="360" t="s">
        <v>239</v>
      </c>
      <c r="E42" s="360" t="s">
        <v>141</v>
      </c>
      <c r="F42" s="360" t="s">
        <v>153</v>
      </c>
      <c r="G42" s="362">
        <v>268</v>
      </c>
    </row>
    <row r="43" s="156" customFormat="1" ht="20" customHeight="1" spans="1:7">
      <c r="A43" s="358"/>
      <c r="B43" s="359">
        <v>25</v>
      </c>
      <c r="C43" s="360" t="s">
        <v>169</v>
      </c>
      <c r="D43" s="360" t="s">
        <v>239</v>
      </c>
      <c r="E43" s="360" t="s">
        <v>141</v>
      </c>
      <c r="F43" s="360" t="s">
        <v>153</v>
      </c>
      <c r="G43" s="362">
        <v>435</v>
      </c>
    </row>
    <row r="44" s="156" customFormat="1" ht="20" customHeight="1" spans="1:7">
      <c r="A44" s="358"/>
      <c r="B44" s="359">
        <v>26</v>
      </c>
      <c r="C44" s="360" t="s">
        <v>161</v>
      </c>
      <c r="D44" s="361"/>
      <c r="E44" s="360"/>
      <c r="F44" s="360"/>
      <c r="G44" s="345">
        <f>SUM(G42:G43)</f>
        <v>703</v>
      </c>
    </row>
    <row r="45" s="156" customFormat="1" ht="20" customHeight="1" spans="1:7">
      <c r="A45" s="358"/>
      <c r="B45" s="359"/>
      <c r="C45" s="363" t="s">
        <v>225</v>
      </c>
      <c r="D45" s="363" t="s">
        <v>255</v>
      </c>
      <c r="E45" s="363" t="s">
        <v>256</v>
      </c>
      <c r="F45" s="363" t="s">
        <v>153</v>
      </c>
      <c r="G45" s="364">
        <v>45</v>
      </c>
    </row>
    <row r="46" s="156" customFormat="1" ht="20" customHeight="1" spans="2:7">
      <c r="B46" s="357">
        <v>27</v>
      </c>
      <c r="C46" s="355" t="s">
        <v>170</v>
      </c>
      <c r="D46" s="355" t="s">
        <v>239</v>
      </c>
      <c r="E46" s="355" t="s">
        <v>141</v>
      </c>
      <c r="F46" s="355" t="s">
        <v>171</v>
      </c>
      <c r="G46" s="365">
        <v>454</v>
      </c>
    </row>
    <row r="47" s="156" customFormat="1" ht="20" customHeight="1" spans="2:8">
      <c r="B47" s="357">
        <v>28</v>
      </c>
      <c r="C47" s="355" t="s">
        <v>172</v>
      </c>
      <c r="D47" s="355" t="s">
        <v>239</v>
      </c>
      <c r="E47" s="355" t="s">
        <v>141</v>
      </c>
      <c r="F47" s="355" t="s">
        <v>171</v>
      </c>
      <c r="G47" s="365">
        <v>119</v>
      </c>
      <c r="H47" s="366"/>
    </row>
    <row r="48" s="156" customFormat="1" ht="20" customHeight="1" spans="2:8">
      <c r="B48" s="357"/>
      <c r="C48" s="355" t="s">
        <v>161</v>
      </c>
      <c r="D48" s="367"/>
      <c r="E48" s="367"/>
      <c r="F48" s="368"/>
      <c r="G48" s="365">
        <f>SUM(G46:G47)</f>
        <v>573</v>
      </c>
      <c r="H48" s="366"/>
    </row>
    <row r="49" s="156" customFormat="1" ht="20" customHeight="1" spans="2:7">
      <c r="B49" s="357" t="s">
        <v>204</v>
      </c>
      <c r="C49" s="355" t="s">
        <v>205</v>
      </c>
      <c r="D49" s="369" t="s">
        <v>252</v>
      </c>
      <c r="E49" s="368"/>
      <c r="F49" s="355" t="s">
        <v>171</v>
      </c>
      <c r="G49" s="365" t="s">
        <v>253</v>
      </c>
    </row>
    <row r="50" s="156" customFormat="1" ht="20" customHeight="1" spans="2:7">
      <c r="B50" s="357"/>
      <c r="C50" s="355" t="s">
        <v>207</v>
      </c>
      <c r="D50" s="370" t="s">
        <v>254</v>
      </c>
      <c r="E50" s="371"/>
      <c r="F50" s="355" t="s">
        <v>171</v>
      </c>
      <c r="G50" s="365"/>
    </row>
    <row r="51" s="156" customFormat="1" ht="20" customHeight="1" spans="2:2">
      <c r="B51" s="182">
        <v>2</v>
      </c>
    </row>
    <row r="52" s="333" customFormat="1" ht="20" customHeight="1" spans="1:7">
      <c r="A52" s="156"/>
      <c r="B52" s="182" t="s">
        <v>182</v>
      </c>
      <c r="C52" s="339" t="s">
        <v>183</v>
      </c>
      <c r="D52" s="340"/>
      <c r="E52" s="340"/>
      <c r="F52" s="341"/>
      <c r="G52" s="184"/>
    </row>
    <row r="53" ht="20" customHeight="1" spans="1:7">
      <c r="A53" s="156"/>
      <c r="B53" s="182">
        <v>1</v>
      </c>
      <c r="C53" s="183" t="s">
        <v>185</v>
      </c>
      <c r="D53" s="183" t="s">
        <v>239</v>
      </c>
      <c r="E53" s="183" t="s">
        <v>141</v>
      </c>
      <c r="F53" s="183" t="s">
        <v>150</v>
      </c>
      <c r="G53" s="184">
        <v>50</v>
      </c>
    </row>
    <row r="54" ht="20" customHeight="1" spans="1:7">
      <c r="A54" s="156"/>
      <c r="B54" s="182">
        <v>2</v>
      </c>
      <c r="C54" s="183" t="s">
        <v>189</v>
      </c>
      <c r="D54" s="183" t="s">
        <v>239</v>
      </c>
      <c r="E54" s="183" t="s">
        <v>141</v>
      </c>
      <c r="F54" s="183" t="s">
        <v>150</v>
      </c>
      <c r="G54" s="184">
        <v>40</v>
      </c>
    </row>
    <row r="55" s="171" customFormat="1" ht="20" customHeight="1" spans="1:7">
      <c r="A55" s="156"/>
      <c r="B55" s="182">
        <v>3</v>
      </c>
      <c r="C55" s="183" t="s">
        <v>192</v>
      </c>
      <c r="D55" s="372" t="s">
        <v>240</v>
      </c>
      <c r="E55" s="183" t="s">
        <v>141</v>
      </c>
      <c r="F55" s="183" t="s">
        <v>153</v>
      </c>
      <c r="G55" s="184">
        <v>5</v>
      </c>
    </row>
    <row r="56" s="171" customFormat="1" ht="20" customHeight="1" spans="1:7">
      <c r="A56" s="156"/>
      <c r="B56" s="182">
        <v>4</v>
      </c>
      <c r="C56" s="183" t="s">
        <v>195</v>
      </c>
      <c r="D56" s="372" t="s">
        <v>240</v>
      </c>
      <c r="E56" s="183" t="s">
        <v>141</v>
      </c>
      <c r="F56" s="183" t="s">
        <v>171</v>
      </c>
      <c r="G56" s="184">
        <v>7</v>
      </c>
    </row>
    <row r="57" ht="20" customHeight="1" spans="1:7">
      <c r="A57" s="156"/>
      <c r="B57" s="182">
        <v>6</v>
      </c>
      <c r="C57" s="183" t="s">
        <v>196</v>
      </c>
      <c r="D57" s="373" t="s">
        <v>246</v>
      </c>
      <c r="E57" s="373"/>
      <c r="F57" s="183" t="s">
        <v>247</v>
      </c>
      <c r="G57" s="184">
        <v>3500</v>
      </c>
    </row>
    <row r="58" ht="20" customHeight="1" spans="1:7">
      <c r="A58" s="156"/>
      <c r="B58" s="182">
        <v>7</v>
      </c>
      <c r="C58" s="183" t="s">
        <v>199</v>
      </c>
      <c r="D58" s="373"/>
      <c r="E58" s="373"/>
      <c r="F58" s="183" t="s">
        <v>248</v>
      </c>
      <c r="G58" s="184">
        <v>3500</v>
      </c>
    </row>
    <row r="59" ht="20" customHeight="1" spans="1:7">
      <c r="A59" s="156"/>
      <c r="B59" s="182">
        <v>8</v>
      </c>
      <c r="C59" s="183" t="s">
        <v>201</v>
      </c>
      <c r="D59" s="373"/>
      <c r="E59" s="373"/>
      <c r="F59" s="183" t="s">
        <v>249</v>
      </c>
      <c r="G59" s="184">
        <v>4500</v>
      </c>
    </row>
    <row r="60" ht="20" customHeight="1" spans="1:7">
      <c r="A60" s="156"/>
      <c r="B60" s="182">
        <v>9</v>
      </c>
      <c r="C60" s="183" t="s">
        <v>202</v>
      </c>
      <c r="D60" s="373"/>
      <c r="E60" s="373"/>
      <c r="F60" s="183" t="s">
        <v>250</v>
      </c>
      <c r="G60" s="184">
        <v>3500</v>
      </c>
    </row>
    <row r="61" ht="20" customHeight="1" spans="1:7">
      <c r="A61" s="156"/>
      <c r="B61" s="182">
        <v>10</v>
      </c>
      <c r="C61" s="183" t="s">
        <v>203</v>
      </c>
      <c r="D61" s="373"/>
      <c r="E61" s="373"/>
      <c r="F61" s="183" t="s">
        <v>251</v>
      </c>
      <c r="G61" s="184">
        <v>1000</v>
      </c>
    </row>
    <row r="62" ht="20" customHeight="1" spans="1:1">
      <c r="A62" s="156"/>
    </row>
    <row r="63" ht="20" customHeight="1" spans="1:1">
      <c r="A63" s="156"/>
    </row>
    <row r="64" s="334" customFormat="1" ht="20" customHeight="1" spans="1:7">
      <c r="A64" s="332"/>
      <c r="B64" s="336" t="s">
        <v>71</v>
      </c>
      <c r="C64" s="337" t="s">
        <v>222</v>
      </c>
      <c r="D64" s="337"/>
      <c r="E64" s="337"/>
      <c r="F64" s="337"/>
      <c r="G64" s="338">
        <f>SUM(G65:G66)</f>
        <v>0</v>
      </c>
    </row>
    <row r="65" ht="20" customHeight="1" spans="1:1">
      <c r="A65" s="156"/>
    </row>
    <row r="66" ht="20" customHeight="1" spans="1:2">
      <c r="A66" s="156"/>
      <c r="B66" s="182">
        <v>2</v>
      </c>
    </row>
    <row r="67" s="334" customFormat="1" ht="20" customHeight="1" spans="1:7">
      <c r="A67" s="332"/>
      <c r="B67" s="336" t="s">
        <v>73</v>
      </c>
      <c r="C67" s="374" t="s">
        <v>209</v>
      </c>
      <c r="D67" s="374"/>
      <c r="E67" s="374"/>
      <c r="F67" s="374"/>
      <c r="G67" s="375"/>
    </row>
    <row r="68" ht="20" customHeight="1" spans="1:7">
      <c r="A68" s="156"/>
      <c r="B68" s="182">
        <v>1</v>
      </c>
      <c r="C68" s="183" t="s">
        <v>210</v>
      </c>
      <c r="D68" s="376" t="s">
        <v>211</v>
      </c>
      <c r="E68" s="377"/>
      <c r="F68" s="377"/>
      <c r="G68" s="378"/>
    </row>
    <row r="69" ht="20" customHeight="1" spans="1:7">
      <c r="A69" s="156"/>
      <c r="B69" s="182">
        <v>2</v>
      </c>
      <c r="C69" s="183" t="s">
        <v>212</v>
      </c>
      <c r="D69" s="376" t="s">
        <v>213</v>
      </c>
      <c r="E69" s="377"/>
      <c r="F69" s="377"/>
      <c r="G69" s="378"/>
    </row>
    <row r="70" ht="20" customHeight="1" spans="1:7">
      <c r="A70" s="156"/>
      <c r="B70" s="182">
        <v>3</v>
      </c>
      <c r="C70" s="183" t="s">
        <v>214</v>
      </c>
      <c r="D70" s="376" t="s">
        <v>215</v>
      </c>
      <c r="E70" s="377"/>
      <c r="F70" s="377"/>
      <c r="G70" s="378"/>
    </row>
    <row r="71" ht="20" customHeight="1" spans="1:7">
      <c r="A71" s="156"/>
      <c r="B71" s="182">
        <v>4</v>
      </c>
      <c r="C71" s="183" t="s">
        <v>216</v>
      </c>
      <c r="D71" s="376" t="s">
        <v>257</v>
      </c>
      <c r="E71" s="377"/>
      <c r="F71" s="377"/>
      <c r="G71" s="378"/>
    </row>
    <row r="72" ht="20" customHeight="1" spans="1:7">
      <c r="A72" s="156"/>
      <c r="B72" s="182">
        <v>5</v>
      </c>
      <c r="C72" s="183" t="s">
        <v>218</v>
      </c>
      <c r="D72" s="376" t="s">
        <v>219</v>
      </c>
      <c r="E72" s="377"/>
      <c r="F72" s="377"/>
      <c r="G72" s="378"/>
    </row>
    <row r="73" ht="20" customHeight="1" spans="1:7">
      <c r="A73" s="156"/>
      <c r="B73" s="182">
        <v>6</v>
      </c>
      <c r="C73" s="183" t="s">
        <v>220</v>
      </c>
      <c r="D73" s="376" t="s">
        <v>221</v>
      </c>
      <c r="E73" s="377"/>
      <c r="F73" s="377"/>
      <c r="G73" s="378"/>
    </row>
    <row r="74" ht="20" customHeight="1" spans="1:7">
      <c r="A74" s="156"/>
      <c r="B74" s="336" t="s">
        <v>75</v>
      </c>
      <c r="C74" s="374" t="s">
        <v>258</v>
      </c>
      <c r="D74" s="373"/>
      <c r="E74" s="373"/>
      <c r="F74" s="373"/>
      <c r="G74" s="379"/>
    </row>
    <row r="75" ht="20" customHeight="1" spans="1:7">
      <c r="A75" s="156"/>
      <c r="B75" s="336" t="s">
        <v>77</v>
      </c>
      <c r="C75" s="373" t="s">
        <v>261</v>
      </c>
      <c r="D75" s="373"/>
      <c r="E75" s="373"/>
      <c r="F75" s="373"/>
      <c r="G75" s="379"/>
    </row>
    <row r="76" ht="25" customHeight="1" spans="1:7">
      <c r="A76" s="156"/>
      <c r="B76" s="380" t="s">
        <v>262</v>
      </c>
      <c r="C76" s="381"/>
      <c r="D76" s="381"/>
      <c r="E76" s="381"/>
      <c r="F76" s="381"/>
      <c r="G76" s="382"/>
    </row>
    <row r="77" ht="5" customHeight="1"/>
  </sheetData>
  <mergeCells count="17">
    <mergeCell ref="B2:G2"/>
    <mergeCell ref="C5:F5"/>
    <mergeCell ref="C13:F13"/>
    <mergeCell ref="D49:E49"/>
    <mergeCell ref="D50:E50"/>
    <mergeCell ref="C52:F52"/>
    <mergeCell ref="C67:G67"/>
    <mergeCell ref="D68:G68"/>
    <mergeCell ref="D69:G69"/>
    <mergeCell ref="D70:G70"/>
    <mergeCell ref="D71:G71"/>
    <mergeCell ref="D72:G72"/>
    <mergeCell ref="D73:G73"/>
    <mergeCell ref="C74:G74"/>
    <mergeCell ref="C75:G75"/>
    <mergeCell ref="B76:G76"/>
    <mergeCell ref="D57:E61"/>
  </mergeCells>
  <pageMargins left="1.73194444444444" right="0.751388888888889" top="0.275" bottom="0.236111111111111" header="0.156944444444444" footer="0.156944444444444"/>
  <pageSetup paperSize="8" orientation="portrait" horizontalDpi="600"/>
  <headerFooter>
    <oddFooter>&amp;C&amp;10第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workbookViewId="0">
      <selection activeCell="I17" sqref="I17"/>
    </sheetView>
  </sheetViews>
  <sheetFormatPr defaultColWidth="9" defaultRowHeight="11.25" outlineLevelCol="5"/>
  <cols>
    <col min="1" max="1" width="1.125" style="277" customWidth="1"/>
    <col min="2" max="2" width="9.375" style="277" customWidth="1"/>
    <col min="3" max="3" width="16.75" style="277" customWidth="1"/>
    <col min="4" max="4" width="12.125" style="277" customWidth="1"/>
    <col min="5" max="5" width="13.5" style="277" customWidth="1"/>
    <col min="6" max="6" width="28.875" style="277" customWidth="1"/>
    <col min="7" max="7" width="0.875" style="277" customWidth="1"/>
    <col min="8" max="16384" width="9" style="277"/>
  </cols>
  <sheetData>
    <row r="1" ht="6" customHeight="1"/>
    <row r="2" s="279" customFormat="1" ht="28" customHeight="1" spans="2:6">
      <c r="B2" s="318" t="s">
        <v>263</v>
      </c>
      <c r="C2" s="318"/>
      <c r="D2" s="318"/>
      <c r="E2" s="318"/>
      <c r="F2" s="318"/>
    </row>
    <row r="3" s="279" customFormat="1" ht="25" customHeight="1" spans="2:6">
      <c r="B3" s="319" t="s">
        <v>116</v>
      </c>
      <c r="C3" s="320" t="s">
        <v>117</v>
      </c>
      <c r="D3" s="320" t="s">
        <v>264</v>
      </c>
      <c r="E3" s="320"/>
      <c r="F3" s="321"/>
    </row>
    <row r="4" s="279" customFormat="1" ht="25" customHeight="1" spans="2:6">
      <c r="B4" s="322" t="s">
        <v>69</v>
      </c>
      <c r="C4" s="323" t="s">
        <v>130</v>
      </c>
      <c r="D4" s="323"/>
      <c r="E4" s="323"/>
      <c r="F4" s="324"/>
    </row>
    <row r="5" s="279" customFormat="1" ht="25" customHeight="1" spans="2:6">
      <c r="B5" s="325" t="s">
        <v>131</v>
      </c>
      <c r="C5" s="272" t="s">
        <v>132</v>
      </c>
      <c r="D5" s="272" t="s">
        <v>265</v>
      </c>
      <c r="E5" s="272"/>
      <c r="F5" s="326"/>
    </row>
    <row r="6" s="279" customFormat="1" ht="25" customHeight="1" spans="2:6">
      <c r="B6" s="325">
        <v>1</v>
      </c>
      <c r="C6" s="272" t="s">
        <v>266</v>
      </c>
      <c r="D6" s="272" t="s">
        <v>267</v>
      </c>
      <c r="E6" s="272"/>
      <c r="F6" s="326"/>
    </row>
    <row r="7" s="279" customFormat="1" ht="25" customHeight="1" spans="2:6">
      <c r="B7" s="325">
        <v>2</v>
      </c>
      <c r="C7" s="272" t="s">
        <v>268</v>
      </c>
      <c r="D7" s="272" t="s">
        <v>269</v>
      </c>
      <c r="E7" s="272"/>
      <c r="F7" s="326"/>
    </row>
    <row r="8" s="279" customFormat="1" ht="25" customHeight="1" spans="2:6">
      <c r="B8" s="325">
        <v>3</v>
      </c>
      <c r="C8" s="272" t="s">
        <v>270</v>
      </c>
      <c r="D8" s="272" t="s">
        <v>271</v>
      </c>
      <c r="E8" s="272"/>
      <c r="F8" s="326"/>
    </row>
    <row r="9" s="279" customFormat="1" ht="35" customHeight="1" spans="2:6">
      <c r="B9" s="325" t="s">
        <v>179</v>
      </c>
      <c r="C9" s="272" t="s">
        <v>180</v>
      </c>
      <c r="D9" s="327" t="s">
        <v>181</v>
      </c>
      <c r="E9" s="327"/>
      <c r="F9" s="328"/>
    </row>
    <row r="10" s="279" customFormat="1" ht="48" customHeight="1" spans="2:6">
      <c r="B10" s="325" t="s">
        <v>182</v>
      </c>
      <c r="C10" s="272" t="s">
        <v>183</v>
      </c>
      <c r="D10" s="327" t="s">
        <v>184</v>
      </c>
      <c r="E10" s="327"/>
      <c r="F10" s="328"/>
    </row>
    <row r="11" s="279" customFormat="1" ht="36" customHeight="1" spans="2:6">
      <c r="B11" s="325" t="s">
        <v>204</v>
      </c>
      <c r="C11" s="272" t="s">
        <v>205</v>
      </c>
      <c r="D11" s="327" t="s">
        <v>272</v>
      </c>
      <c r="E11" s="327"/>
      <c r="F11" s="328"/>
    </row>
    <row r="12" s="279" customFormat="1" ht="25" customHeight="1" spans="2:6">
      <c r="B12" s="322" t="s">
        <v>71</v>
      </c>
      <c r="C12" s="323" t="s">
        <v>209</v>
      </c>
      <c r="D12" s="323"/>
      <c r="E12" s="323"/>
      <c r="F12" s="324"/>
    </row>
    <row r="13" ht="25" customHeight="1" spans="1:6">
      <c r="A13" s="279"/>
      <c r="B13" s="325">
        <v>1</v>
      </c>
      <c r="C13" s="272" t="s">
        <v>210</v>
      </c>
      <c r="D13" s="327" t="s">
        <v>211</v>
      </c>
      <c r="E13" s="327"/>
      <c r="F13" s="328"/>
    </row>
    <row r="14" ht="25" customHeight="1" spans="1:6">
      <c r="A14" s="279"/>
      <c r="B14" s="325">
        <v>2</v>
      </c>
      <c r="C14" s="272" t="s">
        <v>212</v>
      </c>
      <c r="D14" s="327" t="s">
        <v>213</v>
      </c>
      <c r="E14" s="327"/>
      <c r="F14" s="328"/>
    </row>
    <row r="15" ht="25" customHeight="1" spans="1:6">
      <c r="A15" s="279"/>
      <c r="B15" s="325">
        <v>3</v>
      </c>
      <c r="C15" s="272" t="s">
        <v>214</v>
      </c>
      <c r="D15" s="327" t="s">
        <v>215</v>
      </c>
      <c r="E15" s="327"/>
      <c r="F15" s="328"/>
    </row>
    <row r="16" ht="25" customHeight="1" spans="1:6">
      <c r="A16" s="279"/>
      <c r="B16" s="325">
        <v>4</v>
      </c>
      <c r="C16" s="272" t="s">
        <v>216</v>
      </c>
      <c r="D16" s="327" t="s">
        <v>273</v>
      </c>
      <c r="E16" s="327"/>
      <c r="F16" s="328"/>
    </row>
    <row r="17" ht="25" customHeight="1" spans="1:6">
      <c r="A17" s="279"/>
      <c r="B17" s="325">
        <v>5</v>
      </c>
      <c r="C17" s="272" t="s">
        <v>218</v>
      </c>
      <c r="D17" s="327" t="s">
        <v>219</v>
      </c>
      <c r="E17" s="327"/>
      <c r="F17" s="328"/>
    </row>
    <row r="18" ht="25" customHeight="1" spans="1:6">
      <c r="A18" s="279"/>
      <c r="B18" s="325">
        <v>6</v>
      </c>
      <c r="C18" s="272" t="s">
        <v>220</v>
      </c>
      <c r="D18" s="327" t="s">
        <v>219</v>
      </c>
      <c r="E18" s="327"/>
      <c r="F18" s="328"/>
    </row>
    <row r="19" s="279" customFormat="1" ht="25" customHeight="1" spans="2:6">
      <c r="B19" s="322" t="s">
        <v>73</v>
      </c>
      <c r="C19" s="323" t="s">
        <v>222</v>
      </c>
      <c r="D19" s="323"/>
      <c r="E19" s="323"/>
      <c r="F19" s="324"/>
    </row>
    <row r="20" ht="25" customHeight="1" spans="1:6">
      <c r="A20" s="279"/>
      <c r="B20" s="325">
        <v>1</v>
      </c>
      <c r="C20" s="272" t="s">
        <v>274</v>
      </c>
      <c r="D20" s="327" t="s">
        <v>224</v>
      </c>
      <c r="E20" s="327"/>
      <c r="F20" s="328"/>
    </row>
    <row r="21" ht="25" customHeight="1" spans="1:6">
      <c r="A21" s="279"/>
      <c r="B21" s="325">
        <v>2</v>
      </c>
      <c r="C21" s="272" t="s">
        <v>275</v>
      </c>
      <c r="D21" s="327" t="s">
        <v>226</v>
      </c>
      <c r="E21" s="327"/>
      <c r="F21" s="328"/>
    </row>
    <row r="22" ht="25" customHeight="1" spans="1:6">
      <c r="A22" s="279"/>
      <c r="B22" s="325"/>
      <c r="C22" s="272" t="s">
        <v>161</v>
      </c>
      <c r="D22" s="327" t="s">
        <v>227</v>
      </c>
      <c r="E22" s="327"/>
      <c r="F22" s="328"/>
    </row>
    <row r="23" s="279" customFormat="1" ht="25" customHeight="1" spans="2:6">
      <c r="B23" s="322" t="s">
        <v>75</v>
      </c>
      <c r="C23" s="323" t="s">
        <v>228</v>
      </c>
      <c r="D23" s="323"/>
      <c r="E23" s="323"/>
      <c r="F23" s="324"/>
    </row>
    <row r="24" ht="25" customHeight="1" spans="1:6">
      <c r="A24" s="279"/>
      <c r="B24" s="325"/>
      <c r="C24" s="272" t="s">
        <v>229</v>
      </c>
      <c r="D24" s="327" t="s">
        <v>230</v>
      </c>
      <c r="E24" s="327"/>
      <c r="F24" s="328"/>
    </row>
    <row r="25" ht="25" customHeight="1" spans="1:6">
      <c r="A25" s="279"/>
      <c r="B25" s="329" t="s">
        <v>77</v>
      </c>
      <c r="C25" s="330" t="s">
        <v>276</v>
      </c>
      <c r="D25" s="330"/>
      <c r="E25" s="330"/>
      <c r="F25" s="331"/>
    </row>
    <row r="26" ht="6" customHeight="1"/>
  </sheetData>
  <mergeCells count="24">
    <mergeCell ref="B2:F2"/>
    <mergeCell ref="D3:F3"/>
    <mergeCell ref="C4:F4"/>
    <mergeCell ref="D5:F5"/>
    <mergeCell ref="D6:F6"/>
    <mergeCell ref="D7:F7"/>
    <mergeCell ref="D8:F8"/>
    <mergeCell ref="D9:F9"/>
    <mergeCell ref="D10:F10"/>
    <mergeCell ref="D11:F11"/>
    <mergeCell ref="C12:F12"/>
    <mergeCell ref="D13:F13"/>
    <mergeCell ref="D14:F14"/>
    <mergeCell ref="D15:F15"/>
    <mergeCell ref="D16:F16"/>
    <mergeCell ref="D17:F17"/>
    <mergeCell ref="D18:F18"/>
    <mergeCell ref="C19:F19"/>
    <mergeCell ref="D20:F20"/>
    <mergeCell ref="D21:F21"/>
    <mergeCell ref="D22:F22"/>
    <mergeCell ref="C23:F23"/>
    <mergeCell ref="D24:F24"/>
    <mergeCell ref="C25:F25"/>
  </mergeCells>
  <pageMargins left="0.786805555555556" right="0.751388888888889" top="0.275" bottom="0.236111111111111" header="0.156944444444444" footer="0.156944444444444"/>
  <pageSetup paperSize="9" orientation="portrait" horizontalDpi="600"/>
  <headerFooter>
    <oddFooter>&amp;C&amp;10第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A4图册目录</vt:lpstr>
      <vt:lpstr>A3图册目录</vt:lpstr>
      <vt:lpstr>图册封面</vt:lpstr>
      <vt:lpstr>总目录</vt:lpstr>
      <vt:lpstr>意见的回复</vt:lpstr>
      <vt:lpstr>总表</vt:lpstr>
      <vt:lpstr>A3总表</vt:lpstr>
      <vt:lpstr>A3总表 (分片区)</vt:lpstr>
      <vt:lpstr>数量表</vt:lpstr>
      <vt:lpstr>工程量统计表（分片区）</vt:lpstr>
      <vt:lpstr>系数选用表</vt:lpstr>
      <vt:lpstr>经济分析</vt:lpstr>
      <vt:lpstr>原材料运距表</vt:lpstr>
      <vt:lpstr>二次运输分析</vt:lpstr>
      <vt:lpstr>生产路、生物通道 公示牌</vt:lpstr>
      <vt:lpstr>涵管、农渠数量</vt:lpstr>
      <vt:lpstr>下田坡道</vt:lpstr>
      <vt:lpstr>横梁 盖板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www</cp:lastModifiedBy>
  <dcterms:created xsi:type="dcterms:W3CDTF">2023-11-13T11:41:00Z</dcterms:created>
  <dcterms:modified xsi:type="dcterms:W3CDTF">2024-05-12T06:29:45Z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B3F72C90E34D4EA3B751182492899AA5_13</vt:lpwstr>
  </property>
  <property fmtid="{D5CDD505-2E9C-101B-9397-08002B2CF9AE}" pid="3" name="KSOProductBuildVer">
    <vt:lpwstr>2052-12.1.0.16729</vt:lpwstr>
  </property>
</Properties>
</file>